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95" tabRatio="800" firstSheet="2" activeTab="3"/>
  </bookViews>
  <sheets>
    <sheet name="1Р." sheetId="59" state="hidden" r:id="rId1"/>
    <sheet name="доходы 2016" sheetId="75" state="hidden" r:id="rId2"/>
    <sheet name="Функц 2023 (прил 2)" sheetId="117" r:id="rId3"/>
    <sheet name="Вед. 2023 (прил 3)" sheetId="110" r:id="rId4"/>
    <sheet name="1Р. (2)" sheetId="120" state="hidden" r:id="rId5"/>
    <sheet name="доходы 2016 (2)" sheetId="121" state="hidden" r:id="rId6"/>
  </sheets>
  <externalReferences>
    <externalReference r:id="rId7"/>
    <externalReference r:id="rId8"/>
    <externalReference r:id="rId9"/>
  </externalReferences>
  <definedNames>
    <definedName name="_xlnm.Print_Titles" localSheetId="1">'доходы 2016'!$8:$8</definedName>
    <definedName name="_xlnm.Print_Titles" localSheetId="5">'доходы 2016 (2)'!$8:$8</definedName>
    <definedName name="_xlnm.Print_Area" localSheetId="0">'1Р.'!$A$1:$H$65</definedName>
    <definedName name="_xlnm.Print_Area" localSheetId="4">'1Р. (2)'!$A$1:$H$65</definedName>
    <definedName name="_xlnm.Print_Area" localSheetId="3">'Вед. 2023 (прил 3)'!$A$1:$N$175</definedName>
  </definedNames>
  <calcPr calcId="124519" refMode="R1C1"/>
</workbook>
</file>

<file path=xl/calcChain.xml><?xml version="1.0" encoding="utf-8"?>
<calcChain xmlns="http://schemas.openxmlformats.org/spreadsheetml/2006/main">
  <c r="E52" i="117"/>
  <c r="N165" i="110"/>
  <c r="N101" l="1"/>
  <c r="E138" i="117"/>
  <c r="E137" s="1"/>
  <c r="E136" l="1"/>
  <c r="K166" i="110" l="1"/>
  <c r="E64" i="117"/>
  <c r="E63" s="1"/>
  <c r="J73" i="121" l="1"/>
  <c r="J72"/>
  <c r="L69"/>
  <c r="K69"/>
  <c r="J69"/>
  <c r="I69"/>
  <c r="H69"/>
  <c r="G69"/>
  <c r="L67"/>
  <c r="K67"/>
  <c r="J67"/>
  <c r="I67"/>
  <c r="H67"/>
  <c r="G67"/>
  <c r="L66"/>
  <c r="K66"/>
  <c r="J66"/>
  <c r="I66"/>
  <c r="H66"/>
  <c r="G66"/>
  <c r="P65"/>
  <c r="O65"/>
  <c r="N65"/>
  <c r="M65"/>
  <c r="L65"/>
  <c r="K65"/>
  <c r="J65"/>
  <c r="I65"/>
  <c r="H65"/>
  <c r="G65"/>
  <c r="F65"/>
  <c r="E65"/>
  <c r="D65"/>
  <c r="P64"/>
  <c r="O64"/>
  <c r="N64"/>
  <c r="M64"/>
  <c r="P63"/>
  <c r="O63"/>
  <c r="N63"/>
  <c r="M63"/>
  <c r="I63"/>
  <c r="D63"/>
  <c r="P62"/>
  <c r="O62"/>
  <c r="N62"/>
  <c r="M62"/>
  <c r="L62"/>
  <c r="K62"/>
  <c r="J62"/>
  <c r="I62"/>
  <c r="H62"/>
  <c r="G62"/>
  <c r="F62"/>
  <c r="F63" s="1"/>
  <c r="E62"/>
  <c r="E63" s="1"/>
  <c r="P61"/>
  <c r="O61"/>
  <c r="N61"/>
  <c r="M61"/>
  <c r="L61"/>
  <c r="K61"/>
  <c r="J61"/>
  <c r="I61"/>
  <c r="H61"/>
  <c r="G61"/>
  <c r="F61"/>
  <c r="E61"/>
  <c r="D61"/>
  <c r="P60"/>
  <c r="O60"/>
  <c r="N60"/>
  <c r="M60"/>
  <c r="P59"/>
  <c r="O59"/>
  <c r="N59"/>
  <c r="M59"/>
  <c r="P58"/>
  <c r="O58"/>
  <c r="N58"/>
  <c r="M58"/>
  <c r="L58"/>
  <c r="K58"/>
  <c r="J58"/>
  <c r="I58"/>
  <c r="H58"/>
  <c r="G58"/>
  <c r="P57"/>
  <c r="O57"/>
  <c r="N57"/>
  <c r="M57"/>
  <c r="L57"/>
  <c r="K57"/>
  <c r="J57"/>
  <c r="I57"/>
  <c r="H57"/>
  <c r="G57"/>
  <c r="F57"/>
  <c r="E57"/>
  <c r="D57"/>
  <c r="P56"/>
  <c r="O56"/>
  <c r="N56"/>
  <c r="M56"/>
  <c r="L56"/>
  <c r="K56"/>
  <c r="J56"/>
  <c r="I56"/>
  <c r="H56"/>
  <c r="G56"/>
  <c r="L54"/>
  <c r="K54"/>
  <c r="J54"/>
  <c r="I54"/>
  <c r="H54"/>
  <c r="G54"/>
  <c r="F54"/>
  <c r="E54"/>
  <c r="D54"/>
  <c r="L53"/>
  <c r="K53"/>
  <c r="J53"/>
  <c r="I53"/>
  <c r="H53"/>
  <c r="G53"/>
  <c r="F53"/>
  <c r="E53"/>
  <c r="D53"/>
  <c r="P52"/>
  <c r="O52"/>
  <c r="N52"/>
  <c r="M52"/>
  <c r="I52"/>
  <c r="F52"/>
  <c r="E52"/>
  <c r="D52"/>
  <c r="P51"/>
  <c r="O51"/>
  <c r="N51"/>
  <c r="M51"/>
  <c r="L51"/>
  <c r="K51"/>
  <c r="J51"/>
  <c r="I51"/>
  <c r="H51"/>
  <c r="G51"/>
  <c r="P50"/>
  <c r="O50"/>
  <c r="N50"/>
  <c r="M50"/>
  <c r="L50"/>
  <c r="K50"/>
  <c r="J50"/>
  <c r="I50"/>
  <c r="H50"/>
  <c r="G50"/>
  <c r="F50"/>
  <c r="E50"/>
  <c r="D50"/>
  <c r="P49"/>
  <c r="O49"/>
  <c r="N49"/>
  <c r="M49"/>
  <c r="L49"/>
  <c r="K49"/>
  <c r="J49"/>
  <c r="I49"/>
  <c r="H49"/>
  <c r="G49"/>
  <c r="P48"/>
  <c r="O48"/>
  <c r="N48"/>
  <c r="M48"/>
  <c r="L48"/>
  <c r="K48"/>
  <c r="J48"/>
  <c r="I48"/>
  <c r="H48"/>
  <c r="G48"/>
  <c r="L47"/>
  <c r="K47"/>
  <c r="F47"/>
  <c r="E47"/>
  <c r="D47"/>
  <c r="P46"/>
  <c r="O46"/>
  <c r="N46"/>
  <c r="M46"/>
  <c r="L46"/>
  <c r="K46"/>
  <c r="J46"/>
  <c r="F46"/>
  <c r="E46"/>
  <c r="D46"/>
  <c r="P45"/>
  <c r="O45"/>
  <c r="N45"/>
  <c r="M45"/>
  <c r="L45"/>
  <c r="K45"/>
  <c r="J45"/>
  <c r="I45"/>
  <c r="H45"/>
  <c r="G45"/>
  <c r="F45"/>
  <c r="E45"/>
  <c r="D45"/>
  <c r="P44"/>
  <c r="O44"/>
  <c r="N44"/>
  <c r="M44"/>
  <c r="L44"/>
  <c r="K44"/>
  <c r="J44"/>
  <c r="I44"/>
  <c r="H44"/>
  <c r="G44"/>
  <c r="F44"/>
  <c r="E44"/>
  <c r="D44"/>
  <c r="P43"/>
  <c r="O43"/>
  <c r="N43"/>
  <c r="M43"/>
  <c r="L43"/>
  <c r="K43"/>
  <c r="J43"/>
  <c r="I43"/>
  <c r="H43"/>
  <c r="G43"/>
  <c r="L42"/>
  <c r="K42"/>
  <c r="F42"/>
  <c r="E42"/>
  <c r="D42"/>
  <c r="L41"/>
  <c r="K41"/>
  <c r="J41"/>
  <c r="I41"/>
  <c r="H41"/>
  <c r="G41"/>
  <c r="F41"/>
  <c r="E41"/>
  <c r="D41"/>
  <c r="R40"/>
  <c r="L40"/>
  <c r="K40"/>
  <c r="J40"/>
  <c r="I40"/>
  <c r="H40"/>
  <c r="G40"/>
  <c r="F40"/>
  <c r="E40"/>
  <c r="D40"/>
  <c r="L39"/>
  <c r="K39"/>
  <c r="J39"/>
  <c r="I39"/>
  <c r="H39"/>
  <c r="G39"/>
  <c r="L38"/>
  <c r="K38"/>
  <c r="J38"/>
  <c r="I38"/>
  <c r="F38"/>
  <c r="L37"/>
  <c r="K37"/>
  <c r="J37"/>
  <c r="I37"/>
  <c r="G37"/>
  <c r="F37"/>
  <c r="D37"/>
  <c r="L36"/>
  <c r="K36"/>
  <c r="J36"/>
  <c r="I36"/>
  <c r="G36"/>
  <c r="F36"/>
  <c r="E36"/>
  <c r="D36"/>
  <c r="L35"/>
  <c r="K35"/>
  <c r="J35"/>
  <c r="I35"/>
  <c r="H35"/>
  <c r="G35"/>
  <c r="F35"/>
  <c r="E35"/>
  <c r="D35"/>
  <c r="P34"/>
  <c r="O34"/>
  <c r="N34"/>
  <c r="M34"/>
  <c r="L34"/>
  <c r="K34"/>
  <c r="P33"/>
  <c r="O33"/>
  <c r="N33"/>
  <c r="M33"/>
  <c r="L33"/>
  <c r="K33"/>
  <c r="J33"/>
  <c r="I33"/>
  <c r="H33"/>
  <c r="G33"/>
  <c r="E33"/>
  <c r="D33"/>
  <c r="O32"/>
  <c r="N32"/>
  <c r="M32"/>
  <c r="L32"/>
  <c r="K32"/>
  <c r="G32"/>
  <c r="F32"/>
  <c r="E32"/>
  <c r="D32"/>
  <c r="P31"/>
  <c r="O31"/>
  <c r="N31"/>
  <c r="M31"/>
  <c r="L31"/>
  <c r="K31"/>
  <c r="J31"/>
  <c r="I31"/>
  <c r="H31"/>
  <c r="G31"/>
  <c r="F31"/>
  <c r="E31"/>
  <c r="D31"/>
  <c r="P30"/>
  <c r="O30"/>
  <c r="N30"/>
  <c r="M30"/>
  <c r="L30"/>
  <c r="K30"/>
  <c r="J30"/>
  <c r="I30"/>
  <c r="H30"/>
  <c r="G30"/>
  <c r="F30"/>
  <c r="P29"/>
  <c r="O29"/>
  <c r="N29"/>
  <c r="M29"/>
  <c r="L29"/>
  <c r="K29"/>
  <c r="J29"/>
  <c r="I29"/>
  <c r="H29"/>
  <c r="G29"/>
  <c r="P28"/>
  <c r="O28"/>
  <c r="N28"/>
  <c r="M28"/>
  <c r="L28"/>
  <c r="K28"/>
  <c r="J28"/>
  <c r="I28"/>
  <c r="H28"/>
  <c r="F28"/>
  <c r="P27"/>
  <c r="O27"/>
  <c r="N27"/>
  <c r="M27"/>
  <c r="L27"/>
  <c r="K27"/>
  <c r="J27"/>
  <c r="I27"/>
  <c r="H27"/>
  <c r="F27"/>
  <c r="D27"/>
  <c r="P26"/>
  <c r="O26"/>
  <c r="N26"/>
  <c r="M26"/>
  <c r="L26"/>
  <c r="K26"/>
  <c r="J26"/>
  <c r="I26"/>
  <c r="H26"/>
  <c r="F26"/>
  <c r="E26"/>
  <c r="D26"/>
  <c r="P25"/>
  <c r="O25"/>
  <c r="N25"/>
  <c r="M25"/>
  <c r="L25"/>
  <c r="K25"/>
  <c r="J25"/>
  <c r="I25"/>
  <c r="H25"/>
  <c r="F25"/>
  <c r="E25"/>
  <c r="D25"/>
  <c r="P24"/>
  <c r="O24"/>
  <c r="N24"/>
  <c r="M24"/>
  <c r="L24"/>
  <c r="K24"/>
  <c r="J24"/>
  <c r="I24"/>
  <c r="H24"/>
  <c r="G24"/>
  <c r="F24"/>
  <c r="E24"/>
  <c r="D24"/>
  <c r="O23"/>
  <c r="N23"/>
  <c r="M23"/>
  <c r="L23"/>
  <c r="K23"/>
  <c r="J23"/>
  <c r="F23"/>
  <c r="P22"/>
  <c r="O22"/>
  <c r="N22"/>
  <c r="M22"/>
  <c r="L22"/>
  <c r="K22"/>
  <c r="J22"/>
  <c r="I22"/>
  <c r="H22"/>
  <c r="G22"/>
  <c r="F22"/>
  <c r="D22"/>
  <c r="P21"/>
  <c r="O21"/>
  <c r="N21"/>
  <c r="M21"/>
  <c r="L21"/>
  <c r="K21"/>
  <c r="J21"/>
  <c r="I21"/>
  <c r="H21"/>
  <c r="G21"/>
  <c r="F21"/>
  <c r="E21"/>
  <c r="D21"/>
  <c r="L20"/>
  <c r="K20"/>
  <c r="I20"/>
  <c r="F20"/>
  <c r="O19"/>
  <c r="N19"/>
  <c r="M19"/>
  <c r="L19"/>
  <c r="K19"/>
  <c r="I19"/>
  <c r="F19"/>
  <c r="P18"/>
  <c r="O18"/>
  <c r="N18"/>
  <c r="M18"/>
  <c r="L18"/>
  <c r="K18"/>
  <c r="J18"/>
  <c r="I18"/>
  <c r="H18"/>
  <c r="G18"/>
  <c r="F18"/>
  <c r="E18"/>
  <c r="D18"/>
  <c r="P17"/>
  <c r="O17"/>
  <c r="N17"/>
  <c r="M17"/>
  <c r="L17"/>
  <c r="K17"/>
  <c r="I17"/>
  <c r="L16"/>
  <c r="K16"/>
  <c r="J16"/>
  <c r="I16"/>
  <c r="O15"/>
  <c r="N15"/>
  <c r="M15"/>
  <c r="L15"/>
  <c r="K15"/>
  <c r="I15"/>
  <c r="F15"/>
  <c r="P14"/>
  <c r="O14"/>
  <c r="N14"/>
  <c r="M14"/>
  <c r="L14"/>
  <c r="K14"/>
  <c r="J14"/>
  <c r="I14"/>
  <c r="H14"/>
  <c r="G14"/>
  <c r="L13"/>
  <c r="K13"/>
  <c r="J13"/>
  <c r="I13"/>
  <c r="F13"/>
  <c r="O12"/>
  <c r="N12"/>
  <c r="M12"/>
  <c r="L12"/>
  <c r="K12"/>
  <c r="F12"/>
  <c r="P11"/>
  <c r="O11"/>
  <c r="N11"/>
  <c r="M11"/>
  <c r="L11"/>
  <c r="K11"/>
  <c r="J11"/>
  <c r="I11"/>
  <c r="H11"/>
  <c r="G11"/>
  <c r="F11"/>
  <c r="E11"/>
  <c r="D11"/>
  <c r="P10"/>
  <c r="O10"/>
  <c r="N10"/>
  <c r="M10"/>
  <c r="L10"/>
  <c r="K10"/>
  <c r="J10"/>
  <c r="I10"/>
  <c r="H10"/>
  <c r="G10"/>
  <c r="F10"/>
  <c r="E10"/>
  <c r="D10"/>
  <c r="P9"/>
  <c r="O9"/>
  <c r="N9"/>
  <c r="M9"/>
  <c r="L9"/>
  <c r="K9"/>
  <c r="J9"/>
  <c r="I9"/>
  <c r="H9"/>
  <c r="G9"/>
  <c r="F9"/>
  <c r="E9"/>
  <c r="D9"/>
  <c r="J72" i="120"/>
  <c r="J70"/>
  <c r="J68"/>
  <c r="J66"/>
  <c r="J65"/>
  <c r="H65"/>
  <c r="J63"/>
  <c r="H63"/>
  <c r="J62"/>
  <c r="J61"/>
  <c r="H61"/>
  <c r="J59"/>
  <c r="H59"/>
  <c r="H58"/>
  <c r="B58"/>
  <c r="H57"/>
  <c r="H56"/>
  <c r="H55"/>
  <c r="H54"/>
  <c r="H53"/>
  <c r="H52"/>
  <c r="B52"/>
  <c r="J50"/>
  <c r="H50"/>
  <c r="H49"/>
  <c r="B49"/>
  <c r="H48"/>
  <c r="B48"/>
  <c r="J46"/>
  <c r="H46"/>
  <c r="H45"/>
  <c r="H44"/>
  <c r="H42"/>
  <c r="H41"/>
  <c r="H40"/>
  <c r="J38"/>
  <c r="H38"/>
  <c r="H37"/>
  <c r="H36"/>
  <c r="H35"/>
  <c r="J33"/>
  <c r="H33"/>
  <c r="H32"/>
  <c r="J31"/>
  <c r="H31"/>
  <c r="H30"/>
  <c r="G30"/>
  <c r="H29"/>
  <c r="J27"/>
  <c r="H27"/>
  <c r="H26"/>
  <c r="H25"/>
  <c r="D25"/>
  <c r="H24"/>
  <c r="H23"/>
  <c r="H22"/>
  <c r="E22"/>
  <c r="H21"/>
  <c r="H20"/>
  <c r="H19"/>
  <c r="H18"/>
  <c r="J16"/>
  <c r="H16"/>
  <c r="H15"/>
  <c r="J10"/>
  <c r="H10"/>
  <c r="H9"/>
  <c r="B9"/>
  <c r="H8"/>
  <c r="H7"/>
  <c r="H6"/>
  <c r="J5"/>
  <c r="H5"/>
  <c r="H4"/>
  <c r="N173" i="110"/>
  <c r="N172" s="1"/>
  <c r="N171" s="1"/>
  <c r="N170" s="1"/>
  <c r="M172"/>
  <c r="M171" s="1"/>
  <c r="M170" s="1"/>
  <c r="L172"/>
  <c r="L171" s="1"/>
  <c r="L170" s="1"/>
  <c r="K172"/>
  <c r="K171" s="1"/>
  <c r="K170" s="1"/>
  <c r="M163"/>
  <c r="M162" s="1"/>
  <c r="H169"/>
  <c r="H168" s="1"/>
  <c r="J169"/>
  <c r="J168" s="1"/>
  <c r="I169"/>
  <c r="I168" s="1"/>
  <c r="N168"/>
  <c r="N167" s="1"/>
  <c r="K165"/>
  <c r="N164"/>
  <c r="N163" s="1"/>
  <c r="K164"/>
  <c r="L163"/>
  <c r="L162" s="1"/>
  <c r="K163"/>
  <c r="K162" s="1"/>
  <c r="J163"/>
  <c r="J162" s="1"/>
  <c r="N160"/>
  <c r="N159"/>
  <c r="N158" s="1"/>
  <c r="M159"/>
  <c r="M158" s="1"/>
  <c r="L159"/>
  <c r="L158" s="1"/>
  <c r="K159"/>
  <c r="K158" s="1"/>
  <c r="N156"/>
  <c r="N155"/>
  <c r="N154" s="1"/>
  <c r="M155"/>
  <c r="M154" s="1"/>
  <c r="L155"/>
  <c r="L154" s="1"/>
  <c r="K155"/>
  <c r="K154" s="1"/>
  <c r="N151"/>
  <c r="M150"/>
  <c r="M149" s="1"/>
  <c r="L150"/>
  <c r="L149" s="1"/>
  <c r="K150"/>
  <c r="K149" s="1"/>
  <c r="H150"/>
  <c r="H148" s="1"/>
  <c r="H147" s="1"/>
  <c r="N149"/>
  <c r="H149"/>
  <c r="J148"/>
  <c r="J147" s="1"/>
  <c r="I148"/>
  <c r="I147" s="1"/>
  <c r="N147"/>
  <c r="K145"/>
  <c r="K142" s="1"/>
  <c r="N144"/>
  <c r="K144"/>
  <c r="N143"/>
  <c r="M142"/>
  <c r="L142"/>
  <c r="K141"/>
  <c r="N140"/>
  <c r="N139" s="1"/>
  <c r="N138" s="1"/>
  <c r="K140"/>
  <c r="M139"/>
  <c r="L139"/>
  <c r="K139"/>
  <c r="N135"/>
  <c r="N134"/>
  <c r="M134"/>
  <c r="M130" s="1"/>
  <c r="L134"/>
  <c r="L130" s="1"/>
  <c r="K134"/>
  <c r="J133"/>
  <c r="I133"/>
  <c r="H133"/>
  <c r="N132"/>
  <c r="N131" s="1"/>
  <c r="J132"/>
  <c r="I132"/>
  <c r="H132"/>
  <c r="M131"/>
  <c r="L131"/>
  <c r="K131"/>
  <c r="H131"/>
  <c r="K130"/>
  <c r="K126" s="1"/>
  <c r="J130"/>
  <c r="J124" s="1"/>
  <c r="I130"/>
  <c r="I124" s="1"/>
  <c r="H130"/>
  <c r="H126" s="1"/>
  <c r="J129"/>
  <c r="J123" s="1"/>
  <c r="I129"/>
  <c r="I123" s="1"/>
  <c r="H129"/>
  <c r="H123" s="1"/>
  <c r="N128"/>
  <c r="J128"/>
  <c r="I128"/>
  <c r="H128"/>
  <c r="N127"/>
  <c r="N126" s="1"/>
  <c r="H127"/>
  <c r="N123"/>
  <c r="N122" s="1"/>
  <c r="M122"/>
  <c r="M119" s="1"/>
  <c r="L122"/>
  <c r="L119" s="1"/>
  <c r="K122"/>
  <c r="K119" s="1"/>
  <c r="K121"/>
  <c r="J121"/>
  <c r="J120" s="1"/>
  <c r="I121"/>
  <c r="I120" s="1"/>
  <c r="H121"/>
  <c r="H120" s="1"/>
  <c r="N120"/>
  <c r="N119" s="1"/>
  <c r="K120"/>
  <c r="J119"/>
  <c r="J116" s="1"/>
  <c r="I119"/>
  <c r="I116" s="1"/>
  <c r="H119"/>
  <c r="H116" s="1"/>
  <c r="N117"/>
  <c r="N116" s="1"/>
  <c r="M116"/>
  <c r="L116"/>
  <c r="K116"/>
  <c r="H115"/>
  <c r="N114"/>
  <c r="N113" s="1"/>
  <c r="H114"/>
  <c r="M113"/>
  <c r="L113"/>
  <c r="K113"/>
  <c r="J113"/>
  <c r="I113"/>
  <c r="H113"/>
  <c r="J112"/>
  <c r="J111" s="1"/>
  <c r="I112"/>
  <c r="I111" s="1"/>
  <c r="H112"/>
  <c r="H111" s="1"/>
  <c r="N111"/>
  <c r="N110" s="1"/>
  <c r="M110"/>
  <c r="L110"/>
  <c r="K110"/>
  <c r="J110"/>
  <c r="I110"/>
  <c r="H110"/>
  <c r="J107"/>
  <c r="I107"/>
  <c r="H107"/>
  <c r="K106"/>
  <c r="H106"/>
  <c r="H104" s="1"/>
  <c r="N105"/>
  <c r="N104" s="1"/>
  <c r="N103" s="1"/>
  <c r="K105"/>
  <c r="H105"/>
  <c r="J104"/>
  <c r="I104"/>
  <c r="H103"/>
  <c r="K100"/>
  <c r="K98" s="1"/>
  <c r="H100"/>
  <c r="H98" s="1"/>
  <c r="N99"/>
  <c r="N98" s="1"/>
  <c r="N97" s="1"/>
  <c r="K99"/>
  <c r="H99"/>
  <c r="M98"/>
  <c r="M97" s="1"/>
  <c r="L98"/>
  <c r="L89" s="1"/>
  <c r="J98"/>
  <c r="I98"/>
  <c r="H97"/>
  <c r="H91" s="1"/>
  <c r="N95"/>
  <c r="N93" s="1"/>
  <c r="M94"/>
  <c r="M93" s="1"/>
  <c r="L94"/>
  <c r="L93" s="1"/>
  <c r="K94"/>
  <c r="K93" s="1"/>
  <c r="J94"/>
  <c r="I94"/>
  <c r="H94"/>
  <c r="H93"/>
  <c r="J91"/>
  <c r="I91"/>
  <c r="N90"/>
  <c r="N89" s="1"/>
  <c r="N88" s="1"/>
  <c r="N87" s="1"/>
  <c r="J90"/>
  <c r="I90"/>
  <c r="H90"/>
  <c r="H89"/>
  <c r="H81" s="1"/>
  <c r="M88"/>
  <c r="M87" s="1"/>
  <c r="L88"/>
  <c r="L87" s="1"/>
  <c r="K88"/>
  <c r="K87" s="1"/>
  <c r="J88"/>
  <c r="I88"/>
  <c r="I87" s="1"/>
  <c r="H88"/>
  <c r="H78" s="1"/>
  <c r="H62" s="1"/>
  <c r="N85"/>
  <c r="N84" s="1"/>
  <c r="N82"/>
  <c r="N81"/>
  <c r="M81"/>
  <c r="L81"/>
  <c r="K81"/>
  <c r="J81"/>
  <c r="I81"/>
  <c r="N79"/>
  <c r="N78"/>
  <c r="M78"/>
  <c r="L78"/>
  <c r="K78"/>
  <c r="N76"/>
  <c r="N75"/>
  <c r="M75"/>
  <c r="L75"/>
  <c r="K75"/>
  <c r="N72"/>
  <c r="M72"/>
  <c r="L72"/>
  <c r="K72"/>
  <c r="J72"/>
  <c r="I72"/>
  <c r="H72"/>
  <c r="N70"/>
  <c r="N69"/>
  <c r="M69"/>
  <c r="L69"/>
  <c r="K69"/>
  <c r="M68"/>
  <c r="M67" s="1"/>
  <c r="L68"/>
  <c r="L67" s="1"/>
  <c r="K68"/>
  <c r="K67" s="1"/>
  <c r="H68"/>
  <c r="N67"/>
  <c r="N66" s="1"/>
  <c r="H67"/>
  <c r="N64"/>
  <c r="N63" s="1"/>
  <c r="N61"/>
  <c r="N60"/>
  <c r="M60"/>
  <c r="L60"/>
  <c r="K60"/>
  <c r="J58"/>
  <c r="J57" s="1"/>
  <c r="I58"/>
  <c r="I57" s="1"/>
  <c r="H58"/>
  <c r="H57" s="1"/>
  <c r="N57"/>
  <c r="N56"/>
  <c r="N55" s="1"/>
  <c r="M56"/>
  <c r="M55" s="1"/>
  <c r="L56"/>
  <c r="L55" s="1"/>
  <c r="K56"/>
  <c r="K55" s="1"/>
  <c r="J55"/>
  <c r="I55"/>
  <c r="H55"/>
  <c r="N53"/>
  <c r="N51"/>
  <c r="N48"/>
  <c r="N47" s="1"/>
  <c r="M46"/>
  <c r="M45" s="1"/>
  <c r="L46"/>
  <c r="L45" s="1"/>
  <c r="K46"/>
  <c r="K45" s="1"/>
  <c r="H46"/>
  <c r="N45"/>
  <c r="H45"/>
  <c r="M44"/>
  <c r="M40" s="1"/>
  <c r="M38" s="1"/>
  <c r="L44"/>
  <c r="L43" s="1"/>
  <c r="K44"/>
  <c r="K43" s="1"/>
  <c r="H44"/>
  <c r="H42" s="1"/>
  <c r="H41" s="1"/>
  <c r="N43"/>
  <c r="H43"/>
  <c r="J42"/>
  <c r="J41" s="1"/>
  <c r="I42"/>
  <c r="I41" s="1"/>
  <c r="N41"/>
  <c r="H40"/>
  <c r="M39"/>
  <c r="L39"/>
  <c r="K39"/>
  <c r="J38"/>
  <c r="I38"/>
  <c r="I37" s="1"/>
  <c r="I36" s="1"/>
  <c r="H38"/>
  <c r="J37"/>
  <c r="J36" s="1"/>
  <c r="N34"/>
  <c r="N33" s="1"/>
  <c r="N32" s="1"/>
  <c r="N30"/>
  <c r="N29"/>
  <c r="N28" s="1"/>
  <c r="M29"/>
  <c r="L29"/>
  <c r="K29"/>
  <c r="J29"/>
  <c r="J71" s="1"/>
  <c r="I29"/>
  <c r="I71" s="1"/>
  <c r="H29"/>
  <c r="H71" s="1"/>
  <c r="H27"/>
  <c r="N26"/>
  <c r="N25" s="1"/>
  <c r="H26"/>
  <c r="M25"/>
  <c r="L25"/>
  <c r="K25"/>
  <c r="J25"/>
  <c r="I25"/>
  <c r="H25"/>
  <c r="N23"/>
  <c r="N21"/>
  <c r="N19"/>
  <c r="N18"/>
  <c r="M18"/>
  <c r="L18"/>
  <c r="K18"/>
  <c r="M17"/>
  <c r="L17"/>
  <c r="K17"/>
  <c r="J17"/>
  <c r="I17"/>
  <c r="H17"/>
  <c r="J16"/>
  <c r="I16"/>
  <c r="H16"/>
  <c r="H15"/>
  <c r="H13" s="1"/>
  <c r="N14"/>
  <c r="N13" s="1"/>
  <c r="H14"/>
  <c r="M13"/>
  <c r="L13"/>
  <c r="K13"/>
  <c r="J13"/>
  <c r="I13"/>
  <c r="E173" i="117"/>
  <c r="E172" s="1"/>
  <c r="E171" s="1"/>
  <c r="E169"/>
  <c r="E168" s="1"/>
  <c r="E166"/>
  <c r="E165" s="1"/>
  <c r="E164" s="1"/>
  <c r="E159"/>
  <c r="E158" s="1"/>
  <c r="E154"/>
  <c r="E151"/>
  <c r="E149"/>
  <c r="E147"/>
  <c r="E144"/>
  <c r="E143" s="1"/>
  <c r="E142" s="1"/>
  <c r="E139"/>
  <c r="E132"/>
  <c r="E130"/>
  <c r="E129" s="1"/>
  <c r="E124"/>
  <c r="E123" s="1"/>
  <c r="E125"/>
  <c r="E120"/>
  <c r="E117"/>
  <c r="E116" s="1"/>
  <c r="E114"/>
  <c r="E113" s="1"/>
  <c r="E111"/>
  <c r="E110" s="1"/>
  <c r="E108"/>
  <c r="E107" s="1"/>
  <c r="E102"/>
  <c r="E101" s="1"/>
  <c r="E97"/>
  <c r="E95"/>
  <c r="E91"/>
  <c r="E90" s="1"/>
  <c r="E89" s="1"/>
  <c r="E86"/>
  <c r="E85" s="1"/>
  <c r="E80"/>
  <c r="E79" s="1"/>
  <c r="E76"/>
  <c r="E74"/>
  <c r="E71"/>
  <c r="E68"/>
  <c r="E67" s="1"/>
  <c r="E60"/>
  <c r="E58"/>
  <c r="E57" s="1"/>
  <c r="E54"/>
  <c r="E55"/>
  <c r="E51"/>
  <c r="E49"/>
  <c r="E47" s="1"/>
  <c r="E46" s="1"/>
  <c r="E43"/>
  <c r="E41"/>
  <c r="E37"/>
  <c r="E36" s="1"/>
  <c r="E34"/>
  <c r="E32"/>
  <c r="E30"/>
  <c r="E25"/>
  <c r="E24" s="1"/>
  <c r="E22"/>
  <c r="E20"/>
  <c r="E18"/>
  <c r="E13"/>
  <c r="E12" s="1"/>
  <c r="E11" s="1"/>
  <c r="J73" i="75"/>
  <c r="J72"/>
  <c r="L69"/>
  <c r="K69"/>
  <c r="J69"/>
  <c r="I69"/>
  <c r="H69"/>
  <c r="G69"/>
  <c r="L67"/>
  <c r="K67"/>
  <c r="J67"/>
  <c r="I67"/>
  <c r="H67"/>
  <c r="G67"/>
  <c r="L66"/>
  <c r="K66"/>
  <c r="J66"/>
  <c r="I66"/>
  <c r="H66"/>
  <c r="G66"/>
  <c r="P65"/>
  <c r="O65"/>
  <c r="N65"/>
  <c r="M65"/>
  <c r="L65"/>
  <c r="K65"/>
  <c r="J65"/>
  <c r="I65"/>
  <c r="H65"/>
  <c r="G65"/>
  <c r="F65"/>
  <c r="E65"/>
  <c r="D65"/>
  <c r="P64"/>
  <c r="O64"/>
  <c r="N64"/>
  <c r="M64"/>
  <c r="P63"/>
  <c r="O63"/>
  <c r="N63"/>
  <c r="M63"/>
  <c r="I63"/>
  <c r="D63"/>
  <c r="P62"/>
  <c r="O62"/>
  <c r="N62"/>
  <c r="M62"/>
  <c r="L62"/>
  <c r="K62"/>
  <c r="J62"/>
  <c r="I62"/>
  <c r="H62"/>
  <c r="G62"/>
  <c r="F62"/>
  <c r="F63" s="1"/>
  <c r="E62"/>
  <c r="E63" s="1"/>
  <c r="P61"/>
  <c r="O61"/>
  <c r="N61"/>
  <c r="M61"/>
  <c r="L61"/>
  <c r="K61"/>
  <c r="J61"/>
  <c r="I61"/>
  <c r="H61"/>
  <c r="G61"/>
  <c r="F61"/>
  <c r="E61"/>
  <c r="D61"/>
  <c r="P60"/>
  <c r="O60"/>
  <c r="N60"/>
  <c r="M60"/>
  <c r="P59"/>
  <c r="O59"/>
  <c r="N59"/>
  <c r="M59"/>
  <c r="P58"/>
  <c r="O58"/>
  <c r="N58"/>
  <c r="M58"/>
  <c r="L58"/>
  <c r="K58"/>
  <c r="J58"/>
  <c r="I58"/>
  <c r="H58"/>
  <c r="G58"/>
  <c r="P57"/>
  <c r="O57"/>
  <c r="N57"/>
  <c r="M57"/>
  <c r="L57"/>
  <c r="K57"/>
  <c r="J57"/>
  <c r="I57"/>
  <c r="H57"/>
  <c r="G57"/>
  <c r="F57"/>
  <c r="E57"/>
  <c r="D57"/>
  <c r="P56"/>
  <c r="O56"/>
  <c r="N56"/>
  <c r="M56"/>
  <c r="L56"/>
  <c r="K56"/>
  <c r="J56"/>
  <c r="I56"/>
  <c r="H56"/>
  <c r="G56"/>
  <c r="L54"/>
  <c r="K54"/>
  <c r="J54"/>
  <c r="I54"/>
  <c r="H54"/>
  <c r="G54"/>
  <c r="F54"/>
  <c r="E54"/>
  <c r="D54"/>
  <c r="L53"/>
  <c r="K53"/>
  <c r="J53"/>
  <c r="I53"/>
  <c r="H53"/>
  <c r="G53"/>
  <c r="F53"/>
  <c r="E53"/>
  <c r="D53"/>
  <c r="P52"/>
  <c r="O52"/>
  <c r="N52"/>
  <c r="M52"/>
  <c r="I52"/>
  <c r="F52"/>
  <c r="E52"/>
  <c r="D52"/>
  <c r="P51"/>
  <c r="O51"/>
  <c r="N51"/>
  <c r="M51"/>
  <c r="L51"/>
  <c r="K51"/>
  <c r="J51"/>
  <c r="I51"/>
  <c r="H51"/>
  <c r="G51"/>
  <c r="P50"/>
  <c r="O50"/>
  <c r="N50"/>
  <c r="M50"/>
  <c r="L50"/>
  <c r="K50"/>
  <c r="J50"/>
  <c r="I50"/>
  <c r="H50"/>
  <c r="G50"/>
  <c r="F50"/>
  <c r="E50"/>
  <c r="D50"/>
  <c r="P49"/>
  <c r="O49"/>
  <c r="N49"/>
  <c r="M49"/>
  <c r="L49"/>
  <c r="K49"/>
  <c r="J49"/>
  <c r="I49"/>
  <c r="H49"/>
  <c r="G49"/>
  <c r="P48"/>
  <c r="O48"/>
  <c r="N48"/>
  <c r="M48"/>
  <c r="L48"/>
  <c r="K48"/>
  <c r="J48"/>
  <c r="I48"/>
  <c r="H48"/>
  <c r="G48"/>
  <c r="L47"/>
  <c r="K47"/>
  <c r="F47"/>
  <c r="E47"/>
  <c r="D47"/>
  <c r="P46"/>
  <c r="O46"/>
  <c r="N46"/>
  <c r="M46"/>
  <c r="L46"/>
  <c r="K46"/>
  <c r="J46"/>
  <c r="F46"/>
  <c r="E46"/>
  <c r="D46"/>
  <c r="P45"/>
  <c r="O45"/>
  <c r="N45"/>
  <c r="M45"/>
  <c r="L45"/>
  <c r="K45"/>
  <c r="J45"/>
  <c r="I45"/>
  <c r="H45"/>
  <c r="G45"/>
  <c r="F45"/>
  <c r="E45"/>
  <c r="D45"/>
  <c r="P44"/>
  <c r="O44"/>
  <c r="N44"/>
  <c r="M44"/>
  <c r="L44"/>
  <c r="K44"/>
  <c r="J44"/>
  <c r="I44"/>
  <c r="H44"/>
  <c r="G44"/>
  <c r="F44"/>
  <c r="E44"/>
  <c r="D44"/>
  <c r="P43"/>
  <c r="O43"/>
  <c r="N43"/>
  <c r="M43"/>
  <c r="L43"/>
  <c r="K43"/>
  <c r="J43"/>
  <c r="I43"/>
  <c r="H43"/>
  <c r="G43"/>
  <c r="L42"/>
  <c r="K42"/>
  <c r="F42"/>
  <c r="E42"/>
  <c r="D42"/>
  <c r="L41"/>
  <c r="K41"/>
  <c r="J41"/>
  <c r="I41"/>
  <c r="H41"/>
  <c r="G41"/>
  <c r="F41"/>
  <c r="E41"/>
  <c r="D41"/>
  <c r="R40"/>
  <c r="L40"/>
  <c r="K40"/>
  <c r="J40"/>
  <c r="I40"/>
  <c r="H40"/>
  <c r="G40"/>
  <c r="F40"/>
  <c r="E40"/>
  <c r="D40"/>
  <c r="L39"/>
  <c r="K39"/>
  <c r="J39"/>
  <c r="I39"/>
  <c r="H39"/>
  <c r="G39"/>
  <c r="L38"/>
  <c r="K38"/>
  <c r="J38"/>
  <c r="I38"/>
  <c r="F38"/>
  <c r="L37"/>
  <c r="K37"/>
  <c r="J37"/>
  <c r="I37"/>
  <c r="G37"/>
  <c r="F37"/>
  <c r="D37"/>
  <c r="L36"/>
  <c r="K36"/>
  <c r="J36"/>
  <c r="I36"/>
  <c r="G36"/>
  <c r="F36"/>
  <c r="E36"/>
  <c r="D36"/>
  <c r="L35"/>
  <c r="K35"/>
  <c r="J35"/>
  <c r="I35"/>
  <c r="H35"/>
  <c r="G35"/>
  <c r="F35"/>
  <c r="E35"/>
  <c r="D35"/>
  <c r="P34"/>
  <c r="O34"/>
  <c r="N34"/>
  <c r="M34"/>
  <c r="L34"/>
  <c r="K34"/>
  <c r="P33"/>
  <c r="O33"/>
  <c r="N33"/>
  <c r="M33"/>
  <c r="L33"/>
  <c r="K33"/>
  <c r="J33"/>
  <c r="I33"/>
  <c r="H33"/>
  <c r="G33"/>
  <c r="E33"/>
  <c r="D33"/>
  <c r="O32"/>
  <c r="N32"/>
  <c r="M32"/>
  <c r="L32"/>
  <c r="K32"/>
  <c r="G32"/>
  <c r="F32"/>
  <c r="E32"/>
  <c r="D32"/>
  <c r="P31"/>
  <c r="O31"/>
  <c r="N31"/>
  <c r="M31"/>
  <c r="L31"/>
  <c r="K31"/>
  <c r="J31"/>
  <c r="I31"/>
  <c r="H31"/>
  <c r="G31"/>
  <c r="F31"/>
  <c r="E31"/>
  <c r="D31"/>
  <c r="P30"/>
  <c r="O30"/>
  <c r="N30"/>
  <c r="M30"/>
  <c r="L30"/>
  <c r="K30"/>
  <c r="J30"/>
  <c r="I30"/>
  <c r="H30"/>
  <c r="G30"/>
  <c r="F30"/>
  <c r="P29"/>
  <c r="O29"/>
  <c r="N29"/>
  <c r="M29"/>
  <c r="L29"/>
  <c r="K29"/>
  <c r="J29"/>
  <c r="I29"/>
  <c r="H29"/>
  <c r="G29"/>
  <c r="P28"/>
  <c r="O28"/>
  <c r="N28"/>
  <c r="M28"/>
  <c r="L28"/>
  <c r="K28"/>
  <c r="J28"/>
  <c r="I28"/>
  <c r="H28"/>
  <c r="F28"/>
  <c r="P27"/>
  <c r="O27"/>
  <c r="N27"/>
  <c r="M27"/>
  <c r="L27"/>
  <c r="K27"/>
  <c r="J27"/>
  <c r="I27"/>
  <c r="H27"/>
  <c r="F27"/>
  <c r="D27"/>
  <c r="P26"/>
  <c r="O26"/>
  <c r="N26"/>
  <c r="M26"/>
  <c r="L26"/>
  <c r="K26"/>
  <c r="J26"/>
  <c r="I26"/>
  <c r="H26"/>
  <c r="F26"/>
  <c r="E26"/>
  <c r="D26"/>
  <c r="P25"/>
  <c r="O25"/>
  <c r="N25"/>
  <c r="M25"/>
  <c r="L25"/>
  <c r="K25"/>
  <c r="J25"/>
  <c r="I25"/>
  <c r="H25"/>
  <c r="F25"/>
  <c r="E25"/>
  <c r="D25"/>
  <c r="P24"/>
  <c r="O24"/>
  <c r="N24"/>
  <c r="M24"/>
  <c r="L24"/>
  <c r="K24"/>
  <c r="J24"/>
  <c r="I24"/>
  <c r="H24"/>
  <c r="G24"/>
  <c r="F24"/>
  <c r="E24"/>
  <c r="D24"/>
  <c r="O23"/>
  <c r="N23"/>
  <c r="M23"/>
  <c r="L23"/>
  <c r="K23"/>
  <c r="J23"/>
  <c r="F23"/>
  <c r="P22"/>
  <c r="O22"/>
  <c r="N22"/>
  <c r="M22"/>
  <c r="L22"/>
  <c r="K22"/>
  <c r="J22"/>
  <c r="I22"/>
  <c r="H22"/>
  <c r="G22"/>
  <c r="F22"/>
  <c r="D22"/>
  <c r="P21"/>
  <c r="O21"/>
  <c r="N21"/>
  <c r="M21"/>
  <c r="L21"/>
  <c r="K21"/>
  <c r="J21"/>
  <c r="I21"/>
  <c r="H21"/>
  <c r="G21"/>
  <c r="F21"/>
  <c r="E21"/>
  <c r="D21"/>
  <c r="L20"/>
  <c r="K20"/>
  <c r="I20"/>
  <c r="F20"/>
  <c r="O19"/>
  <c r="N19"/>
  <c r="M19"/>
  <c r="L19"/>
  <c r="K19"/>
  <c r="I19"/>
  <c r="F19"/>
  <c r="P18"/>
  <c r="O18"/>
  <c r="N18"/>
  <c r="M18"/>
  <c r="L18"/>
  <c r="K18"/>
  <c r="J18"/>
  <c r="I18"/>
  <c r="H18"/>
  <c r="G18"/>
  <c r="F18"/>
  <c r="E18"/>
  <c r="D18"/>
  <c r="P17"/>
  <c r="O17"/>
  <c r="N17"/>
  <c r="M17"/>
  <c r="L17"/>
  <c r="K17"/>
  <c r="I17"/>
  <c r="L16"/>
  <c r="K16"/>
  <c r="J16"/>
  <c r="I16"/>
  <c r="O15"/>
  <c r="N15"/>
  <c r="M15"/>
  <c r="L15"/>
  <c r="K15"/>
  <c r="I15"/>
  <c r="F15"/>
  <c r="P14"/>
  <c r="O14"/>
  <c r="N14"/>
  <c r="M14"/>
  <c r="L14"/>
  <c r="K14"/>
  <c r="J14"/>
  <c r="I14"/>
  <c r="H14"/>
  <c r="G14"/>
  <c r="L13"/>
  <c r="K13"/>
  <c r="J13"/>
  <c r="I13"/>
  <c r="F13"/>
  <c r="O12"/>
  <c r="N12"/>
  <c r="M12"/>
  <c r="L12"/>
  <c r="K12"/>
  <c r="F12"/>
  <c r="P11"/>
  <c r="O11"/>
  <c r="N11"/>
  <c r="M11"/>
  <c r="L11"/>
  <c r="K11"/>
  <c r="J11"/>
  <c r="I11"/>
  <c r="H11"/>
  <c r="G11"/>
  <c r="F11"/>
  <c r="E11"/>
  <c r="D11"/>
  <c r="P10"/>
  <c r="O10"/>
  <c r="N10"/>
  <c r="M10"/>
  <c r="L10"/>
  <c r="K10"/>
  <c r="J10"/>
  <c r="I10"/>
  <c r="H10"/>
  <c r="G10"/>
  <c r="F10"/>
  <c r="E10"/>
  <c r="D10"/>
  <c r="P9"/>
  <c r="O9"/>
  <c r="N9"/>
  <c r="M9"/>
  <c r="L9"/>
  <c r="K9"/>
  <c r="J9"/>
  <c r="I9"/>
  <c r="H9"/>
  <c r="G9"/>
  <c r="F9"/>
  <c r="E9"/>
  <c r="D9"/>
  <c r="J72" i="59"/>
  <c r="J70"/>
  <c r="J68"/>
  <c r="J66"/>
  <c r="J65"/>
  <c r="H65"/>
  <c r="J63"/>
  <c r="H63"/>
  <c r="J62"/>
  <c r="J61"/>
  <c r="H61"/>
  <c r="J59"/>
  <c r="H59"/>
  <c r="H58"/>
  <c r="B58"/>
  <c r="H57"/>
  <c r="H56"/>
  <c r="H55"/>
  <c r="H54"/>
  <c r="H53"/>
  <c r="H52"/>
  <c r="B52"/>
  <c r="J50"/>
  <c r="H50"/>
  <c r="H49"/>
  <c r="B49"/>
  <c r="H48"/>
  <c r="B48"/>
  <c r="J46"/>
  <c r="H46"/>
  <c r="H45"/>
  <c r="H44"/>
  <c r="H42"/>
  <c r="H41"/>
  <c r="H40"/>
  <c r="J38"/>
  <c r="H38"/>
  <c r="H37"/>
  <c r="H36"/>
  <c r="H35"/>
  <c r="J33"/>
  <c r="H33"/>
  <c r="H32"/>
  <c r="J31"/>
  <c r="H31"/>
  <c r="H30"/>
  <c r="G30"/>
  <c r="H29"/>
  <c r="J27"/>
  <c r="H27"/>
  <c r="H26"/>
  <c r="H25"/>
  <c r="D25"/>
  <c r="H24"/>
  <c r="H23"/>
  <c r="H22"/>
  <c r="E22"/>
  <c r="H21"/>
  <c r="H20"/>
  <c r="H19"/>
  <c r="H18"/>
  <c r="J16"/>
  <c r="H16"/>
  <c r="H15"/>
  <c r="J10"/>
  <c r="H10"/>
  <c r="H9"/>
  <c r="B9"/>
  <c r="H8"/>
  <c r="H7"/>
  <c r="H6"/>
  <c r="J5"/>
  <c r="H5"/>
  <c r="H4"/>
  <c r="E119" i="117" l="1"/>
  <c r="E106" s="1"/>
  <c r="N17" i="110"/>
  <c r="N16" s="1"/>
  <c r="I10"/>
  <c r="J87"/>
  <c r="E83" i="117"/>
  <c r="E82" s="1"/>
  <c r="E84"/>
  <c r="E99"/>
  <c r="E100"/>
  <c r="E128"/>
  <c r="N94" i="110"/>
  <c r="J78"/>
  <c r="J62" s="1"/>
  <c r="J61" s="1"/>
  <c r="I78"/>
  <c r="I62" s="1"/>
  <c r="I61" s="1"/>
  <c r="J126"/>
  <c r="I126"/>
  <c r="L107"/>
  <c r="L104" s="1"/>
  <c r="L103" s="1"/>
  <c r="K125"/>
  <c r="J10"/>
  <c r="L97"/>
  <c r="K107"/>
  <c r="K104" s="1"/>
  <c r="K103" s="1"/>
  <c r="M89"/>
  <c r="N92"/>
  <c r="N130"/>
  <c r="N125" s="1"/>
  <c r="K127"/>
  <c r="M138"/>
  <c r="M137" s="1"/>
  <c r="N146"/>
  <c r="N142" s="1"/>
  <c r="N137" s="1"/>
  <c r="M153"/>
  <c r="M43"/>
  <c r="L153"/>
  <c r="N50"/>
  <c r="M107"/>
  <c r="M104" s="1"/>
  <c r="M103" s="1"/>
  <c r="K153"/>
  <c r="H61"/>
  <c r="H60"/>
  <c r="M126"/>
  <c r="M127"/>
  <c r="M125"/>
  <c r="L126"/>
  <c r="L127"/>
  <c r="L125"/>
  <c r="L16"/>
  <c r="N109"/>
  <c r="J11"/>
  <c r="M16"/>
  <c r="H125"/>
  <c r="K16"/>
  <c r="L138"/>
  <c r="L137" s="1"/>
  <c r="N40"/>
  <c r="N39" s="1"/>
  <c r="K138"/>
  <c r="K137" s="1"/>
  <c r="M59"/>
  <c r="M37" s="1"/>
  <c r="L59"/>
  <c r="L40"/>
  <c r="L38" s="1"/>
  <c r="K59"/>
  <c r="K40"/>
  <c r="K38" s="1"/>
  <c r="K37" s="1"/>
  <c r="N153"/>
  <c r="M11"/>
  <c r="M10" s="1"/>
  <c r="N59"/>
  <c r="I69"/>
  <c r="I70"/>
  <c r="H69"/>
  <c r="H70"/>
  <c r="K97"/>
  <c r="K89"/>
  <c r="N162"/>
  <c r="J69"/>
  <c r="J70"/>
  <c r="J125"/>
  <c r="I125"/>
  <c r="H124"/>
  <c r="I11"/>
  <c r="E146" i="117"/>
  <c r="E141" s="1"/>
  <c r="E66"/>
  <c r="E160"/>
  <c r="E73"/>
  <c r="E70"/>
  <c r="E174"/>
  <c r="E40"/>
  <c r="E39" s="1"/>
  <c r="E29"/>
  <c r="E28" s="1"/>
  <c r="N11" i="110"/>
  <c r="N10" s="1"/>
  <c r="N12"/>
  <c r="E17" i="117"/>
  <c r="E16" s="1"/>
  <c r="E94"/>
  <c r="E93" s="1"/>
  <c r="E88" s="1"/>
  <c r="E163"/>
  <c r="E162" s="1"/>
  <c r="E127"/>
  <c r="E122" s="1"/>
  <c r="E77"/>
  <c r="E133"/>
  <c r="E48"/>
  <c r="E61"/>
  <c r="E156"/>
  <c r="E155"/>
  <c r="E153" s="1"/>
  <c r="H87" i="110"/>
  <c r="H11"/>
  <c r="H10"/>
  <c r="H37"/>
  <c r="H36" s="1"/>
  <c r="E105" i="117" l="1"/>
  <c r="E104" s="1"/>
  <c r="E69"/>
  <c r="E50" s="1"/>
  <c r="E45" s="1"/>
  <c r="K36" i="110"/>
  <c r="E15" i="117"/>
  <c r="N107" i="110"/>
  <c r="N108"/>
  <c r="I60"/>
  <c r="J60"/>
  <c r="N38"/>
  <c r="N37" s="1"/>
  <c r="M36"/>
  <c r="M175" s="1"/>
  <c r="L37"/>
  <c r="L36" s="1"/>
  <c r="K11"/>
  <c r="K10" s="1"/>
  <c r="K175" s="1"/>
  <c r="L11"/>
  <c r="L10" s="1"/>
  <c r="E135" i="117"/>
  <c r="E27"/>
  <c r="N175" i="110" l="1"/>
  <c r="E10" i="117"/>
  <c r="E176" s="1"/>
  <c r="N36" i="110"/>
  <c r="L175"/>
</calcChain>
</file>

<file path=xl/sharedStrings.xml><?xml version="1.0" encoding="utf-8"?>
<sst xmlns="http://schemas.openxmlformats.org/spreadsheetml/2006/main" count="1958" uniqueCount="567">
  <si>
    <t>Заработная плата и начисления  01.01.10</t>
  </si>
  <si>
    <t>Штатн.ед.наим</t>
  </si>
  <si>
    <t>Кол-во</t>
  </si>
  <si>
    <t>Кол-во р.е.</t>
  </si>
  <si>
    <t>Ставка</t>
  </si>
  <si>
    <t>квал.</t>
  </si>
  <si>
    <t>высл.</t>
  </si>
  <si>
    <t>период</t>
  </si>
  <si>
    <t>Сумма</t>
  </si>
  <si>
    <t>Глава МО</t>
  </si>
  <si>
    <t>Гл. бух МО</t>
  </si>
  <si>
    <t>Гл. спец МО</t>
  </si>
  <si>
    <t>Спец 1 кат.</t>
  </si>
  <si>
    <t>итого аппарат МС</t>
  </si>
  <si>
    <t>Глава МА</t>
  </si>
  <si>
    <t>Зам. Главы МА</t>
  </si>
  <si>
    <t>Гл. бух МА</t>
  </si>
  <si>
    <t>Нач. отд.</t>
  </si>
  <si>
    <t>Гл. спец</t>
  </si>
  <si>
    <t>Ведущий спец.</t>
  </si>
  <si>
    <t>Техслужба</t>
  </si>
  <si>
    <t>аппарат МА</t>
  </si>
  <si>
    <t>Орган опеки</t>
  </si>
  <si>
    <t>итого 211</t>
  </si>
  <si>
    <t>итого 213</t>
  </si>
  <si>
    <t xml:space="preserve">обсл. моб. </t>
  </si>
  <si>
    <t>ПТС</t>
  </si>
  <si>
    <t>Почта</t>
  </si>
  <si>
    <t>итого</t>
  </si>
  <si>
    <t>Командировочные</t>
  </si>
  <si>
    <t>Проезд.карточки</t>
  </si>
  <si>
    <t>Водокан</t>
  </si>
  <si>
    <t>Эл. эн.</t>
  </si>
  <si>
    <t>Ремонт помещ.</t>
  </si>
  <si>
    <t>котел</t>
  </si>
  <si>
    <t>дог. подр.</t>
  </si>
  <si>
    <t>Начисление по дог.</t>
  </si>
  <si>
    <t>консультант+ 1С</t>
  </si>
  <si>
    <t>сигн</t>
  </si>
  <si>
    <t>рем. орг. техники</t>
  </si>
  <si>
    <t>талоны на отходы</t>
  </si>
  <si>
    <t>налог на имущ</t>
  </si>
  <si>
    <t>осн средства</t>
  </si>
  <si>
    <t>материалы</t>
  </si>
  <si>
    <t>Проект</t>
  </si>
  <si>
    <t>Приложение №3</t>
  </si>
  <si>
    <t>к Решению Муниципального Совета МО пос. Лисий Нос</t>
  </si>
  <si>
    <t>№      от      2015 г.</t>
  </si>
  <si>
    <t>ДОХОДЫ</t>
  </si>
  <si>
    <t xml:space="preserve"> МЕСТНОГО БЮДЖЕТА МУНИЦИПАЛЬНОГО ОБРАЗОВАНИЯ ПОСЕЛОК ЛИСИЙ НОС НА 2016 ГОД</t>
  </si>
  <si>
    <t>на 01.01.2014</t>
  </si>
  <si>
    <t>№ п/п</t>
  </si>
  <si>
    <t>Код статьи</t>
  </si>
  <si>
    <t>Источники доходов</t>
  </si>
  <si>
    <t xml:space="preserve">План на 2011год(тыс. руб.) </t>
  </si>
  <si>
    <t>Исполнение  на 1.09.11</t>
  </si>
  <si>
    <t>Прогноз исполнения за 2011 год</t>
  </si>
  <si>
    <t>План на 2013г. (тыс.руб)</t>
  </si>
  <si>
    <t>Исполнение  на 1.09.13</t>
  </si>
  <si>
    <t>Прогноз исполнения за 2013 год</t>
  </si>
  <si>
    <t>Сумма   (тыс.руб.)</t>
  </si>
  <si>
    <t>Проект на 2015 год</t>
  </si>
  <si>
    <t>Проект на 2016 год</t>
  </si>
  <si>
    <t>1 квартал (тыс. руб)</t>
  </si>
  <si>
    <t>2 квартал (тыс. руб)</t>
  </si>
  <si>
    <t>3 квартал (тыс. руб)</t>
  </si>
  <si>
    <t>4 квартал (тыс. руб)</t>
  </si>
  <si>
    <t>I</t>
  </si>
  <si>
    <t>000 1 00 00000 00 0000 000</t>
  </si>
  <si>
    <t>НАЛОГОВЫЕ И НЕНАЛОГОВЫЕ ДОХОДЫ</t>
  </si>
  <si>
    <t>1.</t>
  </si>
  <si>
    <t>000 1 05 00000 00 0000 000</t>
  </si>
  <si>
    <t>НАЛОГИ НА СОВОКУПНЫЙ ДОХОД</t>
  </si>
  <si>
    <t>1.1</t>
  </si>
  <si>
    <t>000 1 05 01000 00 0000 110</t>
  </si>
  <si>
    <t>Налог, взимаемый в связи с применением упрощенной системы налообложения.</t>
  </si>
  <si>
    <t>1.1.1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</si>
  <si>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</si>
  <si>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</si>
  <si>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1.1.1.1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</si>
  <si>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</si>
  <si>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</si>
  <si>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1.1.2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</si>
  <si>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</si>
  <si>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</si>
  <si>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1.1.2.1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</si>
  <si>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</si>
  <si>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</si>
  <si>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</si>
  <si>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1.1.3</t>
  </si>
  <si>
    <t>182 1 05 01050 01 0000 110</t>
  </si>
  <si>
    <t>Минимальный налог, зачисляемый в бюджеты субъектов Российской Федерации</t>
  </si>
  <si>
    <t>1.2</t>
  </si>
  <si>
    <t>000 1 05 02000 02 0000 110</t>
  </si>
  <si>
    <t>Единый налог на вмененный доход для отдельных видов деятельности (папентная система налогообложения)</t>
  </si>
  <si>
    <t>1.2.1</t>
  </si>
  <si>
    <t>182 1 05 02010 02 0000 110</t>
  </si>
  <si>
    <t>1.3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</si>
  <si>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</si>
  <si>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</si>
  <si>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2.</t>
  </si>
  <si>
    <t>000 1 06 00000 00 0000 000</t>
  </si>
  <si>
    <t>НАЛОГИ НА ИМУЩЕСТВО</t>
  </si>
  <si>
    <t>2.1</t>
  </si>
  <si>
    <t>000 1 06 01000 00 0000 110</t>
  </si>
  <si>
    <t>Налог на имущество физических лиц</t>
  </si>
  <si>
    <t>2.1.1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</si>
  <si>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</si>
  <si>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</si>
  <si>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</si>
  <si>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</si>
  <si>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</si>
  <si>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</si>
  <si>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</si>
  <si>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</si>
  <si>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</si>
  <si>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</si>
  <si>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</si>
  <si>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</si>
  <si>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3.1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</si>
  <si>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</si>
  <si>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</si>
  <si>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3.1.1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</si>
  <si>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</si>
  <si>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</si>
  <si>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3.1.1.1</t>
  </si>
  <si>
    <t>000 1 11 05011 02 0000 120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</si>
  <si>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</si>
  <si>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3.1.1.1.0</t>
  </si>
  <si>
    <t>830 1 11 05011 02 0100 120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</si>
  <si>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</si>
  <si>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3.2</t>
  </si>
  <si>
    <t>000 1 11 070 00 0000 120</t>
  </si>
  <si>
    <t>Платежи от государственных и муниципальных предприятий</t>
  </si>
  <si>
    <t>3.2.1</t>
  </si>
  <si>
    <t>993 1 11 07013 03 0000 120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</si>
  <si>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</si>
  <si>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000 1 13 00000 00 0000 000</t>
  </si>
  <si>
    <t>ДОХОДЫ ОТ ОКАЗАНИЯ ПЛАТНЫХ УСЛУГ(РАБОТ) И КОМПЕНСАЦИИ ЗАТРАТ ГОСУДАРСТВА</t>
  </si>
  <si>
    <t>4.1</t>
  </si>
  <si>
    <t>000 1 13 02990 00 0000 130</t>
  </si>
  <si>
    <t>Прочие доходы от  компенсации затрат государства</t>
  </si>
  <si>
    <t>4.1.1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</si>
  <si>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</si>
  <si>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</si>
  <si>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4.1.1.1</t>
  </si>
  <si>
    <t>867 1 13 02993 03 0100 130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</si>
  <si>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</si>
  <si>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4.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</si>
  <si>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</si>
  <si>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</si>
  <si>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</si>
  <si>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</si>
  <si>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</si>
  <si>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</si>
  <si>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000 1 16 00000 00 0000 000</t>
  </si>
  <si>
    <t>ШТРАФЫ, САНКЦИИ, ВОЗМЕЩЕНИЕ УЩЕРБА</t>
  </si>
  <si>
    <t>4.2</t>
  </si>
  <si>
    <t>000 1 16 90000 00 0000 140</t>
  </si>
  <si>
    <t>Прочие поступления от денежных взысканий (штрафов) и иных сумм в возмещение ущерба</t>
  </si>
  <si>
    <t>4.2.1</t>
  </si>
  <si>
    <t xml:space="preserve">000 1 16 90030 03 0000 140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</si>
  <si>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</si>
  <si>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4.2.1.1</t>
  </si>
  <si>
    <t xml:space="preserve">000 1 16 90030 03 0100 140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</si>
  <si>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</si>
  <si>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4.2.1.2</t>
  </si>
  <si>
    <t xml:space="preserve">860 1 16 90030 03 0200 140 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</si>
  <si>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</si>
  <si>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II</t>
  </si>
  <si>
    <t>000 2 00 00000 00 0000 000</t>
  </si>
  <si>
    <t>БЕЗВОЗМЕЗДНЫЕ ПОСТУПЛЕНИЯ</t>
  </si>
  <si>
    <t>000 2 02 00000 00 0000 151</t>
  </si>
  <si>
    <t>БЕЗВОЗМЕЗДНЫЕ ПОСТУПЛЕНИЯ ОТДРУГИХ БЮДЖЕТОВ БЮДЖЕТНОЙ СИСТЕМЫ РОССИЙСКОЙ ФЕДЕРАЦИИ</t>
  </si>
  <si>
    <t>5.1</t>
  </si>
  <si>
    <t>000 2 02 01000 00 0000 151</t>
  </si>
  <si>
    <t>Дотации бюджетам субъектов Российской Федерации и муниципальных образований</t>
  </si>
  <si>
    <t>5.1.1</t>
  </si>
  <si>
    <t>000 2 02 01001 00 0000 151</t>
  </si>
  <si>
    <t>Дотации на выравнивание  бюджетной обеспеченности</t>
  </si>
  <si>
    <t>5.1.1.1</t>
  </si>
  <si>
    <t>993 2 02 01001 03 0000 151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</si>
  <si>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</si>
  <si>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</si>
  <si>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</si>
  <si>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6.1</t>
  </si>
  <si>
    <t>000 2 02 02999 00 0000 151</t>
  </si>
  <si>
    <t>Прочие субсидии</t>
  </si>
  <si>
    <t>6.1.1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</si>
  <si>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</si>
  <si>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</si>
  <si>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000 2 02 03000 00 0000 151</t>
  </si>
  <si>
    <t xml:space="preserve">СУБВЕНЦИИ СУБЪЕКТОВ РОССИЙСКОЙ ФЕДЕРАЦИИ И МУНИЦИПАЛЬНЫХ ОБРАЗОВАНИЙ </t>
  </si>
  <si>
    <t>7.1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</si>
  <si>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</si>
  <si>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</si>
  <si>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7.1.1</t>
  </si>
  <si>
    <t>993 2 02 03024 03 0000 151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</si>
  <si>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</si>
  <si>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7.1.1.1</t>
  </si>
  <si>
    <t>993 2 02 03024 03 0100 151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</si>
  <si>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</si>
  <si>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</si>
  <si>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993 2 02 03024 03 0200 151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</si>
  <si>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</si>
  <si>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7.2</t>
  </si>
  <si>
    <t>000 2 02 03027 00 0000 151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</si>
  <si>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</si>
  <si>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7.2.1</t>
  </si>
  <si>
    <t>993 2 02 03027 03 0000 151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</si>
  <si>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</si>
  <si>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</si>
  <si>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993 2 02 03027 03 0100 151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</si>
  <si>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</si>
  <si>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7.2.1.2</t>
  </si>
  <si>
    <t>993 2 02 03027 03 0200 151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</si>
  <si>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</si>
  <si>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</si>
  <si>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ВСЕГО РАСХОДОВ</t>
  </si>
  <si>
    <t>ДЕФИЦИТ(-) Профицит(+)</t>
  </si>
  <si>
    <t>Собственные доходы</t>
  </si>
  <si>
    <t xml:space="preserve"> Наименование статей</t>
  </si>
  <si>
    <t>Код раздела и подраздела</t>
  </si>
  <si>
    <t>Код экономической статьи</t>
  </si>
  <si>
    <t>План на 2011 год</t>
  </si>
  <si>
    <t>План на 2013 год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</si>
  <si>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</si>
  <si>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</si>
  <si>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
</t>
  </si>
  <si>
    <t>0102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</si>
  <si>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</si>
  <si>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</si>
  <si>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</si>
  <si>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</si>
  <si>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</si>
  <si>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</si>
  <si>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</si>
  <si>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</si>
  <si>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</si>
  <si>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</si>
  <si>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0300</t>
  </si>
  <si>
    <t>Гражданская оборона</t>
  </si>
  <si>
    <t>0309</t>
  </si>
  <si>
    <t>0400</t>
  </si>
  <si>
    <t xml:space="preserve">Общеэкономические вопросы
</t>
  </si>
  <si>
    <t>0401</t>
  </si>
  <si>
    <t>Дорожное хозяйство (дорожные фонды)</t>
  </si>
  <si>
    <t>0409</t>
  </si>
  <si>
    <t xml:space="preserve">Другие вопросы в области национальной экономики
</t>
  </si>
  <si>
    <t>0412</t>
  </si>
  <si>
    <t>0500</t>
  </si>
  <si>
    <t>Благоустройство</t>
  </si>
  <si>
    <t>0503</t>
  </si>
  <si>
    <t>0700</t>
  </si>
  <si>
    <t xml:space="preserve">Профессиональная подготовка, переподготовка и повышение квалификации
</t>
  </si>
  <si>
    <t>0705</t>
  </si>
  <si>
    <t xml:space="preserve">Молодежная политика </t>
  </si>
  <si>
    <t>0707</t>
  </si>
  <si>
    <t>0800</t>
  </si>
  <si>
    <t>Культура</t>
  </si>
  <si>
    <t>0801</t>
  </si>
  <si>
    <t xml:space="preserve">Другие вопросы в области культуры, кинематографии
</t>
  </si>
  <si>
    <t>0804</t>
  </si>
  <si>
    <t>Социальное обеспечение населения</t>
  </si>
  <si>
    <t>1003</t>
  </si>
  <si>
    <t>Охрана семьи и детства</t>
  </si>
  <si>
    <t>1004</t>
  </si>
  <si>
    <t>1100</t>
  </si>
  <si>
    <t xml:space="preserve">Физическая культура </t>
  </si>
  <si>
    <t>1101</t>
  </si>
  <si>
    <t>1200</t>
  </si>
  <si>
    <t>Периодическая печать и издательства</t>
  </si>
  <si>
    <t>1202</t>
  </si>
  <si>
    <t>ИТОГО:</t>
  </si>
  <si>
    <t>Код целевой статьи</t>
  </si>
  <si>
    <t>Код вида расходов</t>
  </si>
  <si>
    <t>Глава муниципального образования</t>
  </si>
  <si>
    <t>00200 0001 0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</si>
  <si>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</si>
  <si>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</si>
  <si>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 xml:space="preserve">Расходы на выплаты персоналу государственных (муниципальных) органов
</t>
  </si>
  <si>
    <t>120</t>
  </si>
  <si>
    <t>Содержание и обеспечение деятельности представительного органа муниципального образования</t>
  </si>
  <si>
    <t>00200 0002 0</t>
  </si>
  <si>
    <t>Аппарат представительного органа муниципального образования</t>
  </si>
  <si>
    <t>00200 0002 1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</si>
  <si>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</si>
  <si>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</si>
  <si>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Закупка товаров, работ и услуг для государственных (муниципальных) нужд
</t>
  </si>
  <si>
    <t>200</t>
  </si>
  <si>
    <t xml:space="preserve">Иные закупки товаров, работ и услуг для обеспечения государственных (муниципальных) нужд
</t>
  </si>
  <si>
    <t>240</t>
  </si>
  <si>
    <t xml:space="preserve">Иные бюджетные ассигнования
</t>
  </si>
  <si>
    <t>800</t>
  </si>
  <si>
    <t xml:space="preserve">Уплата налогов, сборов и иных платежей
</t>
  </si>
  <si>
    <t>850</t>
  </si>
  <si>
    <t>Компенсации депутатам, осуществляющим свои полномочия на непостоянной основе</t>
  </si>
  <si>
    <t>00200 0002 2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</si>
  <si>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</si>
  <si>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00200 0003 0</t>
  </si>
  <si>
    <t>Содержание и обеспечение деятельности местной администрации по решению вопросов местного значения</t>
  </si>
  <si>
    <t>00200 0003 2</t>
  </si>
  <si>
    <t>Содержание технического персонала местной администрации</t>
  </si>
  <si>
    <t>00200 0003 3</t>
  </si>
  <si>
    <t>Заработная плата технического персонала</t>
  </si>
  <si>
    <t>Начисления на оплату труда технического персонала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</si>
  <si>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</si>
  <si>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</si>
  <si>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Выполнение отдельных государственных полномочий за счет субвенций из фонда компенсаций Санкт-Петербурга</t>
  </si>
  <si>
    <t>Проведение муниципальных выборов</t>
  </si>
  <si>
    <t>Проведение выборов в представтельные органы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</si>
  <si>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</si>
  <si>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</si>
  <si>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Резервный фонд местной администрации</t>
  </si>
  <si>
    <t xml:space="preserve">07000 0006 0 </t>
  </si>
  <si>
    <t>Резервные средства</t>
  </si>
  <si>
    <t>870</t>
  </si>
  <si>
    <t>Формирование архивных фондов органов местного самоуправления,муниципальных предприятий и учреждений</t>
  </si>
  <si>
    <t>09000 0029 0</t>
  </si>
  <si>
    <t>33000 0007 0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</si>
  <si>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
</t>
  </si>
  <si>
    <t xml:space="preserve">09200 G0100 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</si>
  <si>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</si>
  <si>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09200 0044 0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</si>
  <si>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</si>
  <si>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09200 0046 0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</si>
  <si>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</si>
  <si>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09200 0007 2</t>
  </si>
  <si>
    <t>79500 0052 0</t>
  </si>
  <si>
    <t>21900 0009 0</t>
  </si>
  <si>
    <t xml:space="preserve">Временное трудоустройство несовершеннолетних в возрасте от 14 до 18 лет в свободное от учебы время
</t>
  </si>
  <si>
    <t>51002 00200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</si>
  <si>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</si>
  <si>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810</t>
  </si>
  <si>
    <t>31500 0011 0</t>
  </si>
  <si>
    <t xml:space="preserve">Иные бюджетные ассигнования
</t>
  </si>
  <si>
    <t>Уплата налогов, сборов и иных платежей</t>
  </si>
  <si>
    <t>34500 0012 0</t>
  </si>
  <si>
    <t>60000 0013 0</t>
  </si>
  <si>
    <t>Содержание территорий муниципального образования</t>
  </si>
  <si>
    <t>60000 0014 0</t>
  </si>
  <si>
    <t>Работы в сфере озеленения на территории муниципального образования</t>
  </si>
  <si>
    <t>60000 0015 0</t>
  </si>
  <si>
    <t>60000 0016 0</t>
  </si>
  <si>
    <t>60000 0017 0</t>
  </si>
  <si>
    <t>42800 0018 0</t>
  </si>
  <si>
    <t>43100 0019 0</t>
  </si>
  <si>
    <t>Расходы по содержанию и обеспечению МКУ "Лисий Нос"</t>
  </si>
  <si>
    <t>00200 0001 2</t>
  </si>
  <si>
    <t>Расходы на выплаты персоналу в целях обеспечения выполнения функций муниципальными казенными учреждениями</t>
  </si>
  <si>
    <t>Иные бюджетные ассигнования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</si>
  <si>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</si>
  <si>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>50500 0023 0</t>
  </si>
  <si>
    <t xml:space="preserve">Социальное обеспечение и иные выплаты населению
</t>
  </si>
  <si>
    <t>300</t>
  </si>
  <si>
    <t xml:space="preserve">Публичные нормативные социальные выплаты гражданам
</t>
  </si>
  <si>
    <t>310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</si>
  <si>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</si>
  <si>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</si>
  <si>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>45700 0025 1</t>
  </si>
  <si>
    <t xml:space="preserve"> ВЕДОМСТВЕННАЯ СТРУКТУРА</t>
  </si>
  <si>
    <t>№        п/п</t>
  </si>
  <si>
    <t>Код по ГРБС</t>
  </si>
  <si>
    <t>Главный распорядитель бюджетных средств - Муниципальный Совет муниципального образования пос. Лисий Нос (ГРБС)</t>
  </si>
  <si>
    <t>923</t>
  </si>
  <si>
    <t>1</t>
  </si>
  <si>
    <t>1.1.1.1.1</t>
  </si>
  <si>
    <t>1.2.</t>
  </si>
  <si>
    <t>1.2.1.1</t>
  </si>
  <si>
    <t>1.2.1.1.1</t>
  </si>
  <si>
    <t>1.2.1.1.1.1</t>
  </si>
  <si>
    <t>1.2.1.1.2</t>
  </si>
  <si>
    <t>1.2.1.1.2.1</t>
  </si>
  <si>
    <t>1.2.1.1.3</t>
  </si>
  <si>
    <t>1.2.1.1.3.1</t>
  </si>
  <si>
    <t xml:space="preserve">Уплата налогов, сборов и иных платежей
</t>
  </si>
  <si>
    <t>1.2.1.2</t>
  </si>
  <si>
    <t>1.2.1.2.1</t>
  </si>
  <si>
    <t>1.2.1.2.1.1</t>
  </si>
  <si>
    <t xml:space="preserve"> ДРУГИЕ ОБЩЕГОСУДАРСТВЕННЫЕ ВОПРОСЫ</t>
  </si>
  <si>
    <t>III</t>
  </si>
  <si>
    <t>991</t>
  </si>
  <si>
    <t>02001 0001 0</t>
  </si>
  <si>
    <t>Главный распорядитель бюджетных средств - Местная администрация муниципального образования пос. Лисий Нос (ГРБС)</t>
  </si>
  <si>
    <t>993</t>
  </si>
  <si>
    <t>1.1.</t>
  </si>
  <si>
    <t>220</t>
  </si>
  <si>
    <t>1.1.2.1.1</t>
  </si>
  <si>
    <t>1.1.2.2</t>
  </si>
  <si>
    <t>12,7</t>
  </si>
  <si>
    <t>1.1.2.2.1</t>
  </si>
  <si>
    <t>1.1.2.3</t>
  </si>
  <si>
    <t>1.1.2.3.1</t>
  </si>
  <si>
    <t>1.1.3.1</t>
  </si>
  <si>
    <t>1.1.3.1.1</t>
  </si>
  <si>
    <t>1.1.5.1</t>
  </si>
  <si>
    <t>1.1.5.1.1</t>
  </si>
  <si>
    <t>1.1.5.1.1.1</t>
  </si>
  <si>
    <t>1.1.5.1.2</t>
  </si>
  <si>
    <t>1.1.5.1.2.1</t>
  </si>
  <si>
    <t>1.3.1</t>
  </si>
  <si>
    <t>1.3.1.1</t>
  </si>
  <si>
    <t>1.3.1.1.1</t>
  </si>
  <si>
    <t>1.3.1.2</t>
  </si>
  <si>
    <t>1.3.1.2.1</t>
  </si>
  <si>
    <t>1.3.1.2.2</t>
  </si>
  <si>
    <t>1.1.4</t>
  </si>
  <si>
    <t>1.1.4.1</t>
  </si>
  <si>
    <t>1.1.4.1.1</t>
  </si>
  <si>
    <t>1.3.2</t>
  </si>
  <si>
    <t>1.3.2.1</t>
  </si>
  <si>
    <t>1.3.2.1.1</t>
  </si>
  <si>
    <t>1.3.3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</si>
  <si>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</si>
  <si>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</si>
  <si>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</si>
  <si>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</si>
  <si>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</si>
  <si>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</si>
  <si>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</si>
  <si>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</si>
  <si>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1.3.6</t>
  </si>
  <si>
    <t>1.3.6.1</t>
  </si>
  <si>
    <t>1.3.6.1.1</t>
  </si>
  <si>
    <t>1.3.7</t>
  </si>
  <si>
    <t>1.3.7.1</t>
  </si>
  <si>
    <t>1.3.7.1.1</t>
  </si>
  <si>
    <t>2</t>
  </si>
  <si>
    <t>2.1.2</t>
  </si>
  <si>
    <t>2.1.2.1</t>
  </si>
  <si>
    <t>2.1.2.1.1</t>
  </si>
  <si>
    <t>3</t>
  </si>
  <si>
    <t>51002 0020 0</t>
  </si>
  <si>
    <t>3.1.1.1.1</t>
  </si>
  <si>
    <t>3.2.1.1</t>
  </si>
  <si>
    <t>3.2.1.1.1</t>
  </si>
  <si>
    <t>3.2.2.1</t>
  </si>
  <si>
    <t>3.2.2.1.1</t>
  </si>
  <si>
    <t>3.3</t>
  </si>
  <si>
    <t>3.3.1</t>
  </si>
  <si>
    <t>3.3.1.1</t>
  </si>
  <si>
    <t>3.3.1.1.1</t>
  </si>
  <si>
    <t>4</t>
  </si>
  <si>
    <t>4.1.1.2</t>
  </si>
  <si>
    <t>4.1.2</t>
  </si>
  <si>
    <t xml:space="preserve">Содержание территорий муниципального образования </t>
  </si>
  <si>
    <t>4.1.2.1</t>
  </si>
  <si>
    <t>4.1.2.2</t>
  </si>
  <si>
    <t>4.1.3</t>
  </si>
  <si>
    <t>4.1.3.1</t>
  </si>
  <si>
    <t>4.1.3.2</t>
  </si>
  <si>
    <t>4.1.4</t>
  </si>
  <si>
    <t>4.1.4.1</t>
  </si>
  <si>
    <t>4.1.4.2</t>
  </si>
  <si>
    <t>4.1.5</t>
  </si>
  <si>
    <t>4.1.5.1</t>
  </si>
  <si>
    <t>4.1.5.2</t>
  </si>
  <si>
    <t>5</t>
  </si>
  <si>
    <t>5.1.</t>
  </si>
  <si>
    <t>5.1.1.1.1</t>
  </si>
  <si>
    <t>5.2.</t>
  </si>
  <si>
    <t>Молодежная политика</t>
  </si>
  <si>
    <t>5.2.1</t>
  </si>
  <si>
    <t>5.2.1.1</t>
  </si>
  <si>
    <t>5.2.1.1.1</t>
  </si>
  <si>
    <t>5.2.2</t>
  </si>
  <si>
    <t>5.2.2.1</t>
  </si>
  <si>
    <t>5.2.2.1.1</t>
  </si>
  <si>
    <t>6</t>
  </si>
  <si>
    <t>6.1.</t>
  </si>
  <si>
    <t>6.1.1.1</t>
  </si>
  <si>
    <t>6.1.1.1.1</t>
  </si>
  <si>
    <t>6.2</t>
  </si>
  <si>
    <t>6.2.1</t>
  </si>
  <si>
    <t>6.2.1.1</t>
  </si>
  <si>
    <t>6.2.1.1.1</t>
  </si>
  <si>
    <t>6.2.2</t>
  </si>
  <si>
    <t>6.2.2.1</t>
  </si>
  <si>
    <t>6.2.2.1.1</t>
  </si>
  <si>
    <t>6.2.2.2</t>
  </si>
  <si>
    <t>6.2.2.2.1</t>
  </si>
  <si>
    <t>6.2.2.3</t>
  </si>
  <si>
    <t>6.2.2.3.1</t>
  </si>
  <si>
    <t>7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</si>
  <si>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</si>
  <si>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7.1.1.1.1</t>
  </si>
  <si>
    <t>7.2.</t>
  </si>
  <si>
    <t>7.2.1.1.1</t>
  </si>
  <si>
    <t>8</t>
  </si>
  <si>
    <t>8.1</t>
  </si>
  <si>
    <t>8.1.1.1</t>
  </si>
  <si>
    <t>8.1.1.1.1</t>
  </si>
  <si>
    <t>8.1.1</t>
  </si>
  <si>
    <t>9</t>
  </si>
  <si>
    <t>9.1</t>
  </si>
  <si>
    <t>9.1.1</t>
  </si>
  <si>
    <t>9.1.1.1</t>
  </si>
  <si>
    <t>9.1.1.1.1</t>
  </si>
  <si>
    <t xml:space="preserve">    Сумма на 2023 год    (тыс. руб.)</t>
  </si>
  <si>
    <t>79600 0053 0</t>
  </si>
  <si>
    <t>79700 0054 0</t>
  </si>
  <si>
    <t>79800 0055 0</t>
  </si>
  <si>
    <t>00300 0001 3</t>
  </si>
  <si>
    <t>00400 0001 4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</si>
  <si>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</si>
  <si>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00500 0001 5</t>
  </si>
  <si>
    <t>110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</si>
  <si>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</si>
  <si>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</si>
  <si>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</si>
  <si>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Резервные фонды </t>
  </si>
  <si>
    <t xml:space="preserve">Другие 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</si>
  <si>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</si>
  <si>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ЭКОНОМИКА </t>
  </si>
  <si>
    <t xml:space="preserve">Дорожное хозяйство (дорожные фонды) </t>
  </si>
  <si>
    <t xml:space="preserve">ЖИЛИЩНО-КОММУНАЛЬНОЕ ХОЗЯЙСТВО </t>
  </si>
  <si>
    <t xml:space="preserve">ОБРАЗОВАНИЕ </t>
  </si>
  <si>
    <t xml:space="preserve">Профессиональная подготовка, переподготовка и повышение квалификации 
</t>
  </si>
  <si>
    <t xml:space="preserve">КУЛЬТУРА, КИНЕМАТОГРАФИЯ </t>
  </si>
  <si>
    <t xml:space="preserve">Другие вопросы в области культуры, кинематографии </t>
  </si>
  <si>
    <t xml:space="preserve">СОЦИАЛЬНАЯ ПОЛИТИКА </t>
  </si>
  <si>
    <t xml:space="preserve">Социальное обеспечение населения </t>
  </si>
  <si>
    <t xml:space="preserve">Охрана семьи и детства </t>
  </si>
  <si>
    <t xml:space="preserve">ФИЗИЧЕСКАЯ КУЛЬТУРА И СПОРТ </t>
  </si>
  <si>
    <t xml:space="preserve">СРЕДСТВА МАССОВОЙ ИНФОРМАЦИИ </t>
  </si>
  <si>
    <t xml:space="preserve">Периодическая печать и издательства </t>
  </si>
  <si>
    <t xml:space="preserve">Закупка товаров, работ и услуг для государственных (муниципальных) нужд
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</si>
  <si>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</si>
  <si>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</si>
  <si>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МКУ "Лисий Нос" в части переданных полномочий</t>
  </si>
  <si>
    <t>Муниципальная программа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</si>
  <si>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Муниципальная программа " 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Санкт-Петербурга, 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</si>
  <si>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 xml:space="preserve">Муниципальная программа "Проведение работ по военно-патриотическому воспитанию граждан" </t>
  </si>
  <si>
    <t>Муниципальная прогамма "Благоустройство"</t>
  </si>
  <si>
    <t>Муниципальная программа "Содержание муниципальной информационной службы"</t>
  </si>
  <si>
    <t>Муниципальная программа "Участие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Санкт-Петербурга"</t>
  </si>
  <si>
    <t>Муниципальная программа "Участие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Санкт-Петербурга, 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</si>
  <si>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 xml:space="preserve">Муниципальная программа "Содействие развитию малого бизнеса на территории муниципального образования" </t>
  </si>
  <si>
    <t xml:space="preserve">Организация благоустройства территории муниципального образования в соответствии с законодательством в сфере благоустройства </t>
  </si>
  <si>
    <t>Проведение в установленном порядке минимально необходимых мероприятий по обеспечению доступной городской среды для маломобильных групп населения</t>
  </si>
  <si>
    <t>Организация сбора и вывоза бытовых отходов и мусора с территории муниципального образования, на которой расположены жилые дома частного жилищного фонда</t>
  </si>
  <si>
    <t xml:space="preserve">Муниципальная программа "Организация и проведение местных и участие в организации и проведении городских праздничных и иных зрелищных мероприятий" </t>
  </si>
  <si>
    <t>Муниципальная программа "Участие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"</t>
  </si>
  <si>
    <t xml:space="preserve">Муниципальная программа "Проведение подготовки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 </t>
  </si>
  <si>
    <t xml:space="preserve">Муниципальная программа "Участие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мест"      
</t>
  </si>
  <si>
    <t>Муниципальная программа "Проведение работ по военно-патриотическому воспитанию граждан "</t>
  </si>
  <si>
    <t xml:space="preserve"> Муниципальная прогамма "Благоустройство"</t>
  </si>
  <si>
    <t>79900 0056 0</t>
  </si>
  <si>
    <t>к решению муниципального совета</t>
  </si>
  <si>
    <t>мунициального образования поселок Лисий Нос</t>
  </si>
  <si>
    <t>Приложение № 2</t>
  </si>
  <si>
    <t>Приложение № 1</t>
  </si>
  <si>
    <t xml:space="preserve"> РАСПРЕДЕЛЕНИЕ БЮДЖЕТНЫХ АССИГНОВАНИЙ ПО РАЗДЕЛАМ, ПОДРАЗДЕЛАМ, ЦЕЛЕВЫМ СТАТЬЯМ, ГРУППАМ, ПОДГРУППАМ ВИДОВ РАСХОДОВ МЕСТНОГО БЮДЖЕТА ВНУТРИГОРОДСКОГО МУНИЦИПАЛЬНОГО ОБРАЗОВАНИЯ ГОРОДА ФЕДЕРАЛЬНОГО ЗНАЧЕНИЯ САНКТ-ПЕТЕРБУРГА ПОСЕЛОК ЛИСИЙ НОС НА 2023 ГОД</t>
  </si>
  <si>
    <t xml:space="preserve"> РАСХОДОВ  МЕСТНОГО БЮДЖЕТА ВНУТРИГОРОДСКОГО МУНИЦИПАЛЬНОГО ОБРАЗОВАНИЯ ГОРОДА ФЕДЕРАЛЬНОГО ЗНАЧЕНИЯ САНКТ-ПЕТЕРБУРГА ПОСЕЛОК ЛИСИЙ НОС НА 2023 ГОД</t>
  </si>
  <si>
    <t xml:space="preserve">Муниципальная программа "Участие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образования" </t>
  </si>
  <si>
    <t>Муниципальная программа "Проведение подготовки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"</t>
  </si>
  <si>
    <t xml:space="preserve">Муниципальная программа "Текущий ремонт и содержание дорог, расположенных в пределах муниципального образования </t>
  </si>
  <si>
    <t>Муниципальная программа "Организация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 муниципального образования, муниципальных служащих и работников муниципальных учреждений"</t>
  </si>
  <si>
    <t xml:space="preserve">Муниципальная программа "Организация и проведение досуговых мероприятий для жителей муниципального образования" </t>
  </si>
  <si>
    <t>Муниципальная программа "Опубликование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в средствах массовой информации"</t>
  </si>
  <si>
    <t>Муниципальная программа "Обеспечение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</si>
  <si>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 xml:space="preserve">Муниципальная программа "Участие в реализации мер по профилактике дорожно-транспортного травматизма на территории муниципального образования" </t>
  </si>
  <si>
    <t xml:space="preserve">Муниципальная программа "Обеспечение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
</t>
  </si>
  <si>
    <t xml:space="preserve"> Муниципальная программа "Опубликование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в средствах массовой информации"</t>
  </si>
  <si>
    <t>Муниципальная программа "Участие в реализации мер по профилактике дорожно-транспортного травматизма на территории муниципального образования"</t>
  </si>
  <si>
    <t>Муниципальная программа "Текущий ремонт и содержание дорог, расположенных в пределах муниципального образования</t>
  </si>
  <si>
    <t>"05" апреля  2023 г. № 194</t>
  </si>
</sst>
</file>

<file path=xl/styles.xml><?xml version="1.0" encoding="utf-8"?>
<styleSheet xmlns="http://schemas.openxmlformats.org/spreadsheetml/2006/main">
  <numFmts count="7">
    <numFmt numFmtId="164" formatCode="_-* #,##0&quot;р.&quot;_-;\-* #,##0&quot;р.&quot;_-;_-* &quot;-&quot;&quot;р.&quot;_-;_-@_-"/>
    <numFmt numFmtId="165" formatCode="#,##0.0"/>
    <numFmt numFmtId="166" formatCode="0.0"/>
    <numFmt numFmtId="167" formatCode="#,##0.00&quot;р.&quot;"/>
    <numFmt numFmtId="168" formatCode="0.0%"/>
    <numFmt numFmtId="169" formatCode="#,##0&quot;р.&quot;"/>
    <numFmt numFmtId="170" formatCode="#\ ?/?"/>
  </numFmts>
  <fonts count="29">
    <font>
      <sz val="10"/>
      <name val="MS Sans Serif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MS Sans Serif"/>
      <family val="2"/>
      <charset val="204"/>
    </font>
    <font>
      <b/>
      <sz val="10"/>
      <name val="MS Sans Serif"/>
      <family val="2"/>
      <charset val="204"/>
    </font>
    <font>
      <b/>
      <sz val="12"/>
      <name val="MS Sans Serif"/>
      <family val="2"/>
      <charset val="204"/>
    </font>
    <font>
      <sz val="12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 applyNumberFormat="0" applyFill="0" applyBorder="0" applyProtection="0"/>
    <xf numFmtId="0" fontId="26" fillId="0" borderId="0"/>
    <xf numFmtId="0" fontId="27" fillId="0" borderId="0" applyNumberFormat="0" applyFont="0" applyFill="0" applyBorder="0" applyProtection="0"/>
    <xf numFmtId="0" fontId="16" fillId="0" borderId="0"/>
    <xf numFmtId="0" fontId="27" fillId="0" borderId="0" applyNumberFormat="0" applyFont="0" applyFill="0" applyBorder="0" applyProtection="0"/>
    <xf numFmtId="0" fontId="27" fillId="0" borderId="0" applyNumberFormat="0" applyFont="0" applyFill="0" applyBorder="0" applyProtection="0"/>
    <xf numFmtId="0" fontId="16" fillId="0" borderId="0"/>
    <xf numFmtId="0" fontId="27" fillId="0" borderId="0" applyNumberFormat="0" applyFont="0" applyFill="0" applyBorder="0" applyProtection="0"/>
    <xf numFmtId="0" fontId="27" fillId="0" borderId="0" applyNumberFormat="0" applyFont="0" applyFill="0" applyBorder="0" applyProtection="0"/>
  </cellStyleXfs>
  <cellXfs count="414">
    <xf numFmtId="0" fontId="0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top"/>
    </xf>
    <xf numFmtId="4" fontId="0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4" applyNumberFormat="1" applyFont="1" applyFill="1" applyBorder="1" applyAlignment="1" applyProtection="1">
      <alignment horizontal="center" vertical="center" wrapText="1"/>
    </xf>
    <xf numFmtId="0" fontId="6" fillId="0" borderId="2" xfId="4" applyNumberFormat="1" applyFont="1" applyFill="1" applyBorder="1" applyAlignment="1" applyProtection="1">
      <alignment horizontal="center" vertical="center"/>
    </xf>
    <xf numFmtId="166" fontId="6" fillId="0" borderId="2" xfId="4" applyNumberFormat="1" applyFont="1" applyFill="1" applyBorder="1" applyAlignment="1" applyProtection="1">
      <alignment horizontal="center" vertical="center" wrapText="1"/>
    </xf>
    <xf numFmtId="0" fontId="6" fillId="3" borderId="2" xfId="4" applyNumberFormat="1" applyFont="1" applyFill="1" applyBorder="1" applyAlignment="1" applyProtection="1">
      <alignment horizontal="center" vertical="center"/>
    </xf>
    <xf numFmtId="3" fontId="6" fillId="3" borderId="2" xfId="4" applyNumberFormat="1" applyFont="1" applyFill="1" applyBorder="1" applyAlignment="1" applyProtection="1">
      <alignment horizontal="center" vertical="center"/>
    </xf>
    <xf numFmtId="0" fontId="6" fillId="3" borderId="2" xfId="4" applyNumberFormat="1" applyFont="1" applyFill="1" applyBorder="1" applyAlignment="1" applyProtection="1">
      <alignment horizontal="left" vertical="center"/>
    </xf>
    <xf numFmtId="166" fontId="6" fillId="3" borderId="2" xfId="4" applyNumberFormat="1" applyFont="1" applyFill="1" applyBorder="1" applyAlignment="1" applyProtection="1">
      <alignment horizontal="center" vertical="center"/>
    </xf>
    <xf numFmtId="0" fontId="6" fillId="4" borderId="2" xfId="4" applyNumberFormat="1" applyFont="1" applyFill="1" applyBorder="1" applyAlignment="1" applyProtection="1">
      <alignment horizontal="left" vertical="center"/>
    </xf>
    <xf numFmtId="3" fontId="6" fillId="4" borderId="2" xfId="4" applyNumberFormat="1" applyFont="1" applyFill="1" applyBorder="1" applyAlignment="1" applyProtection="1">
      <alignment horizontal="center" vertical="center"/>
    </xf>
    <xf numFmtId="0" fontId="6" fillId="4" borderId="2" xfId="4" applyNumberFormat="1" applyFont="1" applyFill="1" applyBorder="1" applyAlignment="1" applyProtection="1">
      <alignment horizontal="left" vertical="center" wrapText="1"/>
    </xf>
    <xf numFmtId="166" fontId="6" fillId="4" borderId="2" xfId="4" applyNumberFormat="1" applyFont="1" applyFill="1" applyBorder="1" applyAlignment="1" applyProtection="1">
      <alignment horizontal="center" vertical="center"/>
    </xf>
    <xf numFmtId="49" fontId="3" fillId="0" borderId="2" xfId="4" applyNumberFormat="1" applyFont="1" applyFill="1" applyBorder="1" applyAlignment="1" applyProtection="1">
      <alignment horizontal="left" vertical="center"/>
    </xf>
    <xf numFmtId="3" fontId="3" fillId="0" borderId="2" xfId="4" applyNumberFormat="1" applyFont="1" applyFill="1" applyBorder="1" applyAlignment="1" applyProtection="1">
      <alignment horizontal="center" vertical="center"/>
    </xf>
    <xf numFmtId="0" fontId="3" fillId="0" borderId="2" xfId="4" applyNumberFormat="1" applyFont="1" applyFill="1" applyBorder="1" applyAlignment="1" applyProtection="1">
      <alignment horizontal="left" vertical="center" wrapText="1"/>
    </xf>
    <xf numFmtId="166" fontId="3" fillId="0" borderId="2" xfId="4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</xf>
    <xf numFmtId="0" fontId="3" fillId="0" borderId="2" xfId="4" applyNumberFormat="1" applyFont="1" applyFill="1" applyBorder="1" applyAlignment="1" applyProtection="1">
      <alignment horizontal="left" vertical="center"/>
    </xf>
    <xf numFmtId="0" fontId="3" fillId="5" borderId="2" xfId="4" applyNumberFormat="1" applyFont="1" applyFill="1" applyBorder="1" applyAlignment="1" applyProtection="1">
      <alignment horizontal="left" vertical="center"/>
    </xf>
    <xf numFmtId="0" fontId="3" fillId="5" borderId="2" xfId="4" applyNumberFormat="1" applyFont="1" applyFill="1" applyBorder="1" applyAlignment="1" applyProtection="1">
      <alignment horizontal="center" vertical="center"/>
    </xf>
    <xf numFmtId="0" fontId="3" fillId="5" borderId="2" xfId="4" applyNumberFormat="1" applyFont="1" applyFill="1" applyBorder="1" applyAlignment="1" applyProtection="1">
      <alignment horizontal="left" vertical="center" wrapText="1"/>
    </xf>
    <xf numFmtId="0" fontId="3" fillId="0" borderId="2" xfId="4" applyNumberFormat="1" applyFont="1" applyFill="1" applyBorder="1" applyAlignment="1" applyProtection="1">
      <alignment horizontal="center" vertical="center"/>
    </xf>
    <xf numFmtId="166" fontId="6" fillId="6" borderId="2" xfId="4" applyNumberFormat="1" applyFont="1" applyFill="1" applyBorder="1" applyAlignment="1" applyProtection="1">
      <alignment horizontal="center" vertical="center"/>
    </xf>
    <xf numFmtId="166" fontId="3" fillId="2" borderId="2" xfId="4" applyNumberFormat="1" applyFont="1" applyFill="1" applyBorder="1" applyAlignment="1" applyProtection="1">
      <alignment horizontal="center" vertical="center"/>
    </xf>
    <xf numFmtId="0" fontId="6" fillId="6" borderId="2" xfId="4" applyNumberFormat="1" applyFont="1" applyFill="1" applyBorder="1" applyAlignment="1" applyProtection="1">
      <alignment horizontal="left" vertical="center"/>
    </xf>
    <xf numFmtId="3" fontId="6" fillId="6" borderId="2" xfId="4" applyNumberFormat="1" applyFont="1" applyFill="1" applyBorder="1" applyAlignment="1" applyProtection="1">
      <alignment horizontal="center" vertical="center"/>
    </xf>
    <xf numFmtId="0" fontId="6" fillId="6" borderId="2" xfId="4" applyNumberFormat="1" applyFont="1" applyFill="1" applyBorder="1" applyAlignment="1" applyProtection="1">
      <alignment horizontal="left" vertical="center" wrapText="1"/>
    </xf>
    <xf numFmtId="49" fontId="3" fillId="2" borderId="2" xfId="4" applyNumberFormat="1" applyFont="1" applyFill="1" applyBorder="1" applyAlignment="1" applyProtection="1">
      <alignment horizontal="left" vertical="center"/>
    </xf>
    <xf numFmtId="0" fontId="3" fillId="2" borderId="2" xfId="4" applyNumberFormat="1" applyFont="1" applyFill="1" applyBorder="1" applyAlignment="1" applyProtection="1">
      <alignment horizontal="center" vertical="center"/>
    </xf>
    <xf numFmtId="0" fontId="3" fillId="2" borderId="2" xfId="4" applyNumberFormat="1" applyFont="1" applyFill="1" applyBorder="1" applyAlignment="1" applyProtection="1">
      <alignment horizontal="left" vertical="center" wrapText="1"/>
    </xf>
    <xf numFmtId="0" fontId="6" fillId="6" borderId="2" xfId="4" applyNumberFormat="1" applyFont="1" applyFill="1" applyBorder="1" applyAlignment="1" applyProtection="1">
      <alignment horizontal="center" vertical="center"/>
    </xf>
    <xf numFmtId="0" fontId="6" fillId="6" borderId="2" xfId="4" applyNumberFormat="1" applyFont="1" applyFill="1" applyBorder="1" applyAlignment="1" applyProtection="1">
      <alignment vertical="center" wrapText="1"/>
    </xf>
    <xf numFmtId="165" fontId="6" fillId="6" borderId="2" xfId="4" applyNumberFormat="1" applyFont="1" applyFill="1" applyBorder="1" applyAlignment="1" applyProtection="1">
      <alignment horizontal="center" vertical="center"/>
    </xf>
    <xf numFmtId="49" fontId="3" fillId="0" borderId="2" xfId="4" applyNumberFormat="1" applyFont="1" applyFill="1" applyBorder="1" applyAlignment="1" applyProtection="1">
      <alignment horizontal="center" vertical="center"/>
    </xf>
    <xf numFmtId="0" fontId="3" fillId="0" borderId="2" xfId="4" applyNumberFormat="1" applyFont="1" applyFill="1" applyBorder="1" applyAlignment="1" applyProtection="1">
      <alignment vertical="center" wrapText="1"/>
    </xf>
    <xf numFmtId="165" fontId="3" fillId="0" borderId="2" xfId="4" applyNumberFormat="1" applyFont="1" applyFill="1" applyBorder="1" applyAlignment="1" applyProtection="1">
      <alignment horizontal="center" vertical="center"/>
    </xf>
    <xf numFmtId="0" fontId="3" fillId="0" borderId="2" xfId="4" applyNumberFormat="1" applyFont="1" applyFill="1" applyBorder="1" applyAlignment="1" applyProtection="1">
      <alignment vertical="top" wrapText="1"/>
    </xf>
    <xf numFmtId="166" fontId="6" fillId="0" borderId="2" xfId="4" applyNumberFormat="1" applyFont="1" applyFill="1" applyBorder="1" applyAlignment="1" applyProtection="1">
      <alignment horizontal="center" vertical="center"/>
    </xf>
    <xf numFmtId="166" fontId="3" fillId="4" borderId="2" xfId="4" applyNumberFormat="1" applyFont="1" applyFill="1" applyBorder="1" applyAlignment="1" applyProtection="1">
      <alignment horizontal="center" vertical="center"/>
    </xf>
    <xf numFmtId="0" fontId="3" fillId="0" borderId="2" xfId="4" applyNumberFormat="1" applyFont="1" applyFill="1" applyBorder="1" applyAlignment="1" applyProtection="1">
      <alignment horizontal="left" vertical="top" wrapText="1"/>
    </xf>
    <xf numFmtId="166" fontId="3" fillId="3" borderId="2" xfId="4" applyNumberFormat="1" applyFont="1" applyFill="1" applyBorder="1" applyAlignment="1" applyProtection="1">
      <alignment horizontal="center" vertical="center"/>
    </xf>
    <xf numFmtId="166" fontId="3" fillId="6" borderId="2" xfId="4" applyNumberFormat="1" applyFont="1" applyFill="1" applyBorder="1" applyAlignment="1" applyProtection="1">
      <alignment horizontal="center" vertical="center"/>
    </xf>
    <xf numFmtId="49" fontId="6" fillId="0" borderId="2" xfId="4" applyNumberFormat="1" applyFont="1" applyFill="1" applyBorder="1" applyAlignment="1" applyProtection="1">
      <alignment horizontal="left" vertical="center"/>
    </xf>
    <xf numFmtId="3" fontId="6" fillId="0" borderId="2" xfId="4" applyNumberFormat="1" applyFont="1" applyFill="1" applyBorder="1" applyAlignment="1" applyProtection="1">
      <alignment horizontal="center" vertical="center"/>
    </xf>
    <xf numFmtId="0" fontId="6" fillId="0" borderId="2" xfId="4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165" fontId="6" fillId="0" borderId="2" xfId="4" applyNumberFormat="1" applyFont="1" applyFill="1" applyBorder="1" applyAlignment="1" applyProtection="1">
      <alignment horizontal="center" vertical="center"/>
    </xf>
    <xf numFmtId="166" fontId="6" fillId="2" borderId="2" xfId="4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vertical="top"/>
    </xf>
    <xf numFmtId="0" fontId="3" fillId="0" borderId="0" xfId="2" applyNumberFormat="1" applyFont="1" applyFill="1" applyBorder="1" applyAlignment="1" applyProtection="1">
      <alignment horizontal="right" vertical="top"/>
    </xf>
    <xf numFmtId="166" fontId="2" fillId="0" borderId="5" xfId="4" applyNumberFormat="1" applyFont="1" applyFill="1" applyBorder="1" applyAlignment="1" applyProtection="1">
      <alignment horizontal="center" vertical="center" wrapText="1"/>
    </xf>
    <xf numFmtId="166" fontId="2" fillId="0" borderId="6" xfId="4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65" fontId="6" fillId="3" borderId="2" xfId="4" applyNumberFormat="1" applyFont="1" applyFill="1" applyBorder="1" applyAlignment="1" applyProtection="1">
      <alignment horizontal="center" vertical="center"/>
    </xf>
    <xf numFmtId="166" fontId="5" fillId="3" borderId="5" xfId="4" applyNumberFormat="1" applyFont="1" applyFill="1" applyBorder="1" applyAlignment="1" applyProtection="1">
      <alignment horizontal="center" vertical="center"/>
    </xf>
    <xf numFmtId="166" fontId="5" fillId="3" borderId="6" xfId="4" applyNumberFormat="1" applyFont="1" applyFill="1" applyBorder="1" applyAlignment="1" applyProtection="1">
      <alignment horizontal="center" vertical="center"/>
    </xf>
    <xf numFmtId="165" fontId="6" fillId="3" borderId="2" xfId="0" applyNumberFormat="1" applyFont="1" applyFill="1" applyBorder="1" applyAlignment="1" applyProtection="1">
      <alignment horizontal="center" vertical="center"/>
    </xf>
    <xf numFmtId="165" fontId="6" fillId="4" borderId="2" xfId="4" applyNumberFormat="1" applyFont="1" applyFill="1" applyBorder="1" applyAlignment="1" applyProtection="1">
      <alignment horizontal="center" vertical="center"/>
    </xf>
    <xf numFmtId="166" fontId="5" fillId="4" borderId="7" xfId="4" applyNumberFormat="1" applyFont="1" applyFill="1" applyBorder="1" applyAlignment="1" applyProtection="1">
      <alignment horizontal="center" vertical="center"/>
    </xf>
    <xf numFmtId="166" fontId="5" fillId="4" borderId="8" xfId="4" applyNumberFormat="1" applyFont="1" applyFill="1" applyBorder="1" applyAlignment="1" applyProtection="1">
      <alignment horizontal="center" vertical="center"/>
    </xf>
    <xf numFmtId="165" fontId="6" fillId="4" borderId="2" xfId="0" applyNumberFormat="1" applyFont="1" applyFill="1" applyBorder="1" applyAlignment="1" applyProtection="1">
      <alignment horizontal="center" vertical="center"/>
    </xf>
    <xf numFmtId="166" fontId="3" fillId="0" borderId="9" xfId="4" applyNumberFormat="1" applyFont="1" applyFill="1" applyBorder="1" applyAlignment="1" applyProtection="1">
      <alignment horizontal="center" vertical="center"/>
    </xf>
    <xf numFmtId="166" fontId="3" fillId="0" borderId="10" xfId="4" applyNumberFormat="1" applyFont="1" applyFill="1" applyBorder="1" applyAlignment="1" applyProtection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/>
    </xf>
    <xf numFmtId="166" fontId="3" fillId="0" borderId="11" xfId="4" applyNumberFormat="1" applyFont="1" applyFill="1" applyBorder="1" applyAlignment="1" applyProtection="1">
      <alignment horizontal="center" vertical="center"/>
    </xf>
    <xf numFmtId="166" fontId="3" fillId="0" borderId="12" xfId="4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 applyProtection="1">
      <alignment horizontal="center" vertical="center"/>
    </xf>
    <xf numFmtId="166" fontId="5" fillId="4" borderId="5" xfId="4" applyNumberFormat="1" applyFont="1" applyFill="1" applyBorder="1" applyAlignment="1" applyProtection="1">
      <alignment horizontal="center" vertical="center"/>
    </xf>
    <xf numFmtId="166" fontId="5" fillId="4" borderId="13" xfId="4" applyNumberFormat="1" applyFont="1" applyFill="1" applyBorder="1" applyAlignment="1" applyProtection="1">
      <alignment horizontal="center" vertical="center"/>
    </xf>
    <xf numFmtId="165" fontId="3" fillId="4" borderId="2" xfId="0" applyNumberFormat="1" applyFont="1" applyFill="1" applyBorder="1" applyAlignment="1" applyProtection="1">
      <alignment horizontal="center" vertical="center"/>
    </xf>
    <xf numFmtId="166" fontId="6" fillId="4" borderId="14" xfId="4" applyNumberFormat="1" applyFont="1" applyFill="1" applyBorder="1" applyAlignment="1" applyProtection="1">
      <alignment horizontal="center" vertical="center"/>
    </xf>
    <xf numFmtId="166" fontId="6" fillId="4" borderId="3" xfId="4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66" fontId="6" fillId="4" borderId="5" xfId="4" applyNumberFormat="1" applyFont="1" applyFill="1" applyBorder="1" applyAlignment="1" applyProtection="1">
      <alignment horizontal="center" vertical="center"/>
    </xf>
    <xf numFmtId="166" fontId="6" fillId="4" borderId="13" xfId="4" applyNumberFormat="1" applyFont="1" applyFill="1" applyBorder="1" applyAlignment="1" applyProtection="1">
      <alignment horizontal="center" vertical="center"/>
    </xf>
    <xf numFmtId="166" fontId="3" fillId="0" borderId="15" xfId="4" applyNumberFormat="1" applyFont="1" applyFill="1" applyBorder="1" applyAlignment="1" applyProtection="1">
      <alignment horizontal="center" vertical="center"/>
    </xf>
    <xf numFmtId="166" fontId="3" fillId="0" borderId="14" xfId="4" applyNumberFormat="1" applyFont="1" applyFill="1" applyBorder="1" applyAlignment="1" applyProtection="1">
      <alignment horizontal="center" vertical="center"/>
    </xf>
    <xf numFmtId="166" fontId="3" fillId="0" borderId="3" xfId="4" applyNumberFormat="1" applyFont="1" applyFill="1" applyBorder="1" applyAlignment="1" applyProtection="1">
      <alignment horizontal="center" vertical="center"/>
    </xf>
    <xf numFmtId="166" fontId="6" fillId="3" borderId="5" xfId="4" applyNumberFormat="1" applyFont="1" applyFill="1" applyBorder="1" applyAlignment="1" applyProtection="1">
      <alignment horizontal="center" vertical="center"/>
    </xf>
    <xf numFmtId="166" fontId="6" fillId="3" borderId="13" xfId="4" applyNumberFormat="1" applyFont="1" applyFill="1" applyBorder="1" applyAlignment="1" applyProtection="1">
      <alignment horizontal="center" vertical="center"/>
    </xf>
    <xf numFmtId="166" fontId="6" fillId="4" borderId="7" xfId="4" applyNumberFormat="1" applyFont="1" applyFill="1" applyBorder="1" applyAlignment="1" applyProtection="1">
      <alignment horizontal="center" vertical="center"/>
    </xf>
    <xf numFmtId="166" fontId="6" fillId="4" borderId="16" xfId="4" applyNumberFormat="1" applyFont="1" applyFill="1" applyBorder="1" applyAlignment="1" applyProtection="1">
      <alignment horizontal="center" vertical="center"/>
    </xf>
    <xf numFmtId="166" fontId="6" fillId="0" borderId="15" xfId="4" applyNumberFormat="1" applyFont="1" applyFill="1" applyBorder="1" applyAlignment="1" applyProtection="1">
      <alignment horizontal="center" vertical="center"/>
    </xf>
    <xf numFmtId="166" fontId="6" fillId="0" borderId="10" xfId="4" applyNumberFormat="1" applyFont="1" applyFill="1" applyBorder="1" applyAlignment="1" applyProtection="1">
      <alignment horizontal="center" vertical="center"/>
    </xf>
    <xf numFmtId="166" fontId="6" fillId="0" borderId="14" xfId="4" applyNumberFormat="1" applyFont="1" applyFill="1" applyBorder="1" applyAlignment="1" applyProtection="1">
      <alignment horizontal="center" vertical="center"/>
    </xf>
    <xf numFmtId="166" fontId="6" fillId="0" borderId="3" xfId="4" applyNumberFormat="1" applyFont="1" applyFill="1" applyBorder="1" applyAlignment="1" applyProtection="1">
      <alignment horizontal="center" vertical="center"/>
    </xf>
    <xf numFmtId="166" fontId="3" fillId="0" borderId="17" xfId="4" applyNumberFormat="1" applyFont="1" applyFill="1" applyBorder="1" applyAlignment="1" applyProtection="1">
      <alignment horizontal="center" vertical="center"/>
    </xf>
    <xf numFmtId="166" fontId="3" fillId="0" borderId="18" xfId="4" applyNumberFormat="1" applyFont="1" applyFill="1" applyBorder="1" applyAlignment="1" applyProtection="1">
      <alignment horizontal="center" vertical="center"/>
    </xf>
    <xf numFmtId="165" fontId="3" fillId="2" borderId="2" xfId="4" applyNumberFormat="1" applyFont="1" applyFill="1" applyBorder="1" applyAlignment="1" applyProtection="1">
      <alignment horizontal="center" vertical="center"/>
    </xf>
    <xf numFmtId="166" fontId="3" fillId="2" borderId="15" xfId="4" applyNumberFormat="1" applyFont="1" applyFill="1" applyBorder="1" applyAlignment="1" applyProtection="1">
      <alignment horizontal="center" vertical="center"/>
    </xf>
    <xf numFmtId="166" fontId="3" fillId="2" borderId="10" xfId="4" applyNumberFormat="1" applyFont="1" applyFill="1" applyBorder="1" applyAlignment="1" applyProtection="1">
      <alignment horizontal="center" vertical="center"/>
    </xf>
    <xf numFmtId="166" fontId="6" fillId="2" borderId="19" xfId="4" applyNumberFormat="1" applyFont="1" applyFill="1" applyBorder="1" applyAlignment="1" applyProtection="1">
      <alignment horizontal="center" vertical="center"/>
    </xf>
    <xf numFmtId="166" fontId="6" fillId="2" borderId="6" xfId="4" applyNumberFormat="1" applyFont="1" applyFill="1" applyBorder="1" applyAlignment="1" applyProtection="1">
      <alignment horizontal="center" vertical="center"/>
    </xf>
    <xf numFmtId="166" fontId="3" fillId="2" borderId="14" xfId="4" applyNumberFormat="1" applyFont="1" applyFill="1" applyBorder="1" applyAlignment="1" applyProtection="1">
      <alignment horizontal="center" vertical="center"/>
    </xf>
    <xf numFmtId="166" fontId="3" fillId="2" borderId="3" xfId="4" applyNumberFormat="1" applyFont="1" applyFill="1" applyBorder="1" applyAlignment="1" applyProtection="1">
      <alignment horizontal="center" vertical="center"/>
    </xf>
    <xf numFmtId="165" fontId="13" fillId="0" borderId="15" xfId="4" applyNumberFormat="1" applyFont="1" applyFill="1" applyBorder="1" applyAlignment="1" applyProtection="1">
      <alignment horizontal="center" vertical="center"/>
    </xf>
    <xf numFmtId="165" fontId="13" fillId="0" borderId="10" xfId="4" applyNumberFormat="1" applyFont="1" applyFill="1" applyBorder="1" applyAlignment="1" applyProtection="1">
      <alignment horizontal="center" vertical="center"/>
    </xf>
    <xf numFmtId="166" fontId="6" fillId="0" borderId="5" xfId="4" applyNumberFormat="1" applyFont="1" applyFill="1" applyBorder="1" applyAlignment="1" applyProtection="1">
      <alignment horizontal="center" vertical="center"/>
    </xf>
    <xf numFmtId="166" fontId="6" fillId="0" borderId="13" xfId="4" applyNumberFormat="1" applyFont="1" applyFill="1" applyBorder="1" applyAlignment="1" applyProtection="1">
      <alignment horizontal="center" vertical="center"/>
    </xf>
    <xf numFmtId="166" fontId="6" fillId="2" borderId="15" xfId="4" applyNumberFormat="1" applyFont="1" applyFill="1" applyBorder="1" applyAlignment="1" applyProtection="1">
      <alignment horizontal="center" vertical="center"/>
    </xf>
    <xf numFmtId="166" fontId="6" fillId="2" borderId="10" xfId="4" applyNumberFormat="1" applyFont="1" applyFill="1" applyBorder="1" applyAlignment="1" applyProtection="1">
      <alignment horizontal="center" vertical="center"/>
    </xf>
    <xf numFmtId="166" fontId="3" fillId="0" borderId="4" xfId="4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vertical="top"/>
    </xf>
    <xf numFmtId="4" fontId="9" fillId="0" borderId="0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Border="1" applyAlignment="1" applyProtection="1">
      <alignment vertical="center"/>
    </xf>
    <xf numFmtId="165" fontId="11" fillId="0" borderId="0" xfId="0" applyNumberFormat="1" applyFont="1" applyFill="1" applyBorder="1" applyAlignment="1" applyProtection="1">
      <alignment vertical="center"/>
    </xf>
    <xf numFmtId="0" fontId="11" fillId="0" borderId="20" xfId="0" applyNumberFormat="1" applyFont="1" applyFill="1" applyBorder="1" applyAlignment="1" applyProtection="1">
      <alignment vertical="center"/>
    </xf>
    <xf numFmtId="0" fontId="6" fillId="0" borderId="2" xfId="4" applyNumberFormat="1" applyFont="1" applyFill="1" applyBorder="1" applyAlignment="1" applyProtection="1">
      <alignment horizontal="center" vertical="top"/>
    </xf>
    <xf numFmtId="0" fontId="6" fillId="0" borderId="2" xfId="4" applyNumberFormat="1" applyFont="1" applyFill="1" applyBorder="1" applyAlignment="1" applyProtection="1">
      <alignment horizontal="left" vertical="top"/>
    </xf>
    <xf numFmtId="0" fontId="14" fillId="0" borderId="21" xfId="4" applyNumberFormat="1" applyFont="1" applyFill="1" applyBorder="1" applyAlignment="1" applyProtection="1">
      <alignment horizontal="center" vertical="center"/>
    </xf>
    <xf numFmtId="0" fontId="15" fillId="0" borderId="22" xfId="4" applyNumberFormat="1" applyFont="1" applyFill="1" applyBorder="1" applyAlignment="1" applyProtection="1">
      <alignment horizontal="center" vertical="center"/>
    </xf>
    <xf numFmtId="0" fontId="13" fillId="0" borderId="10" xfId="4" applyNumberFormat="1" applyFont="1" applyFill="1" applyBorder="1" applyAlignment="1" applyProtection="1">
      <alignment horizontal="center" vertical="center" wrapText="1"/>
    </xf>
    <xf numFmtId="165" fontId="13" fillId="0" borderId="23" xfId="4" applyNumberFormat="1" applyFont="1" applyFill="1" applyBorder="1" applyAlignment="1" applyProtection="1">
      <alignment horizontal="center" vertical="center"/>
    </xf>
    <xf numFmtId="0" fontId="12" fillId="0" borderId="24" xfId="4" applyNumberFormat="1" applyFont="1" applyFill="1" applyBorder="1" applyAlignment="1" applyProtection="1">
      <alignment horizontal="center" vertical="center"/>
    </xf>
    <xf numFmtId="166" fontId="13" fillId="0" borderId="25" xfId="4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top"/>
    </xf>
    <xf numFmtId="0" fontId="0" fillId="0" borderId="27" xfId="0" applyNumberFormat="1" applyFont="1" applyFill="1" applyBorder="1" applyAlignment="1" applyProtection="1">
      <alignment horizontal="center" vertical="top"/>
    </xf>
    <xf numFmtId="165" fontId="13" fillId="0" borderId="28" xfId="4" applyNumberFormat="1" applyFont="1" applyFill="1" applyBorder="1" applyAlignment="1" applyProtection="1">
      <alignment horizontal="center" vertical="center"/>
    </xf>
    <xf numFmtId="165" fontId="13" fillId="0" borderId="2" xfId="4" applyNumberFormat="1" applyFont="1" applyFill="1" applyBorder="1" applyAlignment="1" applyProtection="1">
      <alignment horizontal="center" vertical="center"/>
    </xf>
    <xf numFmtId="165" fontId="13" fillId="0" borderId="5" xfId="4" applyNumberFormat="1" applyFont="1" applyFill="1" applyBorder="1" applyAlignment="1" applyProtection="1">
      <alignment horizontal="center" vertical="center"/>
    </xf>
    <xf numFmtId="165" fontId="13" fillId="0" borderId="6" xfId="4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164" fontId="16" fillId="0" borderId="0" xfId="3" applyNumberFormat="1" applyFont="1" applyFill="1" applyBorder="1" applyAlignment="1" applyProtection="1">
      <alignment horizontal="right" vertical="top"/>
    </xf>
    <xf numFmtId="9" fontId="16" fillId="0" borderId="0" xfId="3" applyNumberFormat="1" applyFont="1" applyFill="1" applyBorder="1" applyAlignment="1" applyProtection="1">
      <alignment vertical="top"/>
    </xf>
    <xf numFmtId="167" fontId="16" fillId="0" borderId="0" xfId="3" applyNumberFormat="1" applyFont="1" applyFill="1" applyBorder="1" applyAlignment="1" applyProtection="1">
      <alignment horizontal="right" vertical="top"/>
    </xf>
    <xf numFmtId="0" fontId="16" fillId="0" borderId="0" xfId="3"/>
    <xf numFmtId="0" fontId="16" fillId="0" borderId="0" xfId="3" applyNumberFormat="1" applyFill="1" applyBorder="1" applyAlignment="1" applyProtection="1">
      <alignment vertical="top"/>
    </xf>
    <xf numFmtId="0" fontId="16" fillId="0" borderId="0" xfId="3" applyNumberFormat="1" applyFill="1" applyBorder="1" applyAlignment="1" applyProtection="1">
      <alignment horizontal="center" vertical="top"/>
    </xf>
    <xf numFmtId="0" fontId="16" fillId="0" borderId="0" xfId="3" applyNumberFormat="1" applyFont="1" applyFill="1" applyBorder="1" applyAlignment="1" applyProtection="1">
      <alignment horizontal="center" vertical="top"/>
    </xf>
    <xf numFmtId="0" fontId="16" fillId="0" borderId="29" xfId="3" applyNumberFormat="1" applyFill="1" applyBorder="1" applyAlignment="1" applyProtection="1">
      <alignment horizontal="center" vertical="center"/>
    </xf>
    <xf numFmtId="164" fontId="16" fillId="0" borderId="29" xfId="3" applyNumberFormat="1" applyFill="1" applyBorder="1" applyAlignment="1" applyProtection="1">
      <alignment horizontal="center" vertical="center"/>
    </xf>
    <xf numFmtId="9" fontId="16" fillId="0" borderId="29" xfId="3" applyNumberFormat="1" applyFont="1" applyFill="1" applyBorder="1" applyAlignment="1" applyProtection="1">
      <alignment horizontal="center" vertical="center"/>
    </xf>
    <xf numFmtId="167" fontId="16" fillId="0" borderId="30" xfId="3" applyNumberFormat="1" applyFill="1" applyBorder="1" applyAlignment="1" applyProtection="1">
      <alignment horizontal="center" vertical="center"/>
    </xf>
    <xf numFmtId="0" fontId="16" fillId="0" borderId="24" xfId="3" applyNumberFormat="1" applyFont="1" applyFill="1" applyBorder="1" applyAlignment="1" applyProtection="1">
      <alignment horizontal="center" vertical="top"/>
    </xf>
    <xf numFmtId="164" fontId="16" fillId="0" borderId="24" xfId="3" applyNumberFormat="1" applyFont="1" applyFill="1" applyBorder="1" applyAlignment="1" applyProtection="1">
      <alignment horizontal="right" vertical="top"/>
    </xf>
    <xf numFmtId="9" fontId="16" fillId="0" borderId="24" xfId="3" applyNumberFormat="1" applyFont="1" applyFill="1" applyBorder="1" applyAlignment="1" applyProtection="1">
      <alignment horizontal="center" vertical="top"/>
    </xf>
    <xf numFmtId="167" fontId="16" fillId="0" borderId="23" xfId="3" applyNumberFormat="1" applyFont="1" applyFill="1" applyBorder="1" applyAlignment="1" applyProtection="1">
      <alignment horizontal="right" vertical="top"/>
    </xf>
    <xf numFmtId="0" fontId="16" fillId="0" borderId="2" xfId="3" applyNumberFormat="1" applyFont="1" applyFill="1" applyBorder="1" applyAlignment="1" applyProtection="1">
      <alignment horizontal="center" vertical="top"/>
    </xf>
    <xf numFmtId="0" fontId="16" fillId="0" borderId="2" xfId="3" applyNumberFormat="1" applyFill="1" applyBorder="1" applyAlignment="1" applyProtection="1">
      <alignment horizontal="center" vertical="top"/>
    </xf>
    <xf numFmtId="3" fontId="16" fillId="0" borderId="2" xfId="3" applyNumberFormat="1" applyFont="1" applyFill="1" applyBorder="1" applyAlignment="1" applyProtection="1">
      <alignment horizontal="center" vertical="top"/>
    </xf>
    <xf numFmtId="168" fontId="16" fillId="0" borderId="2" xfId="3" applyNumberFormat="1" applyFill="1" applyBorder="1" applyAlignment="1" applyProtection="1">
      <alignment horizontal="right" vertical="top"/>
    </xf>
    <xf numFmtId="9" fontId="16" fillId="0" borderId="2" xfId="3" applyNumberFormat="1" applyFont="1" applyFill="1" applyBorder="1" applyAlignment="1" applyProtection="1">
      <alignment horizontal="center" vertical="top"/>
    </xf>
    <xf numFmtId="167" fontId="0" fillId="0" borderId="31" xfId="3" applyNumberFormat="1" applyFont="1" applyFill="1" applyBorder="1" applyAlignment="1" applyProtection="1">
      <alignment horizontal="right" vertical="top"/>
    </xf>
    <xf numFmtId="0" fontId="16" fillId="0" borderId="2" xfId="3" applyNumberFormat="1" applyFont="1" applyFill="1" applyBorder="1" applyAlignment="1" applyProtection="1">
      <alignment vertical="top"/>
    </xf>
    <xf numFmtId="164" fontId="16" fillId="0" borderId="2" xfId="3" applyNumberFormat="1" applyFont="1" applyFill="1" applyBorder="1" applyAlignment="1" applyProtection="1">
      <alignment horizontal="right" vertical="top"/>
    </xf>
    <xf numFmtId="167" fontId="16" fillId="0" borderId="31" xfId="3" applyNumberFormat="1" applyFont="1" applyFill="1" applyBorder="1" applyAlignment="1" applyProtection="1">
      <alignment horizontal="right" vertical="top"/>
    </xf>
    <xf numFmtId="0" fontId="16" fillId="0" borderId="32" xfId="3" applyNumberFormat="1" applyFill="1" applyBorder="1" applyAlignment="1" applyProtection="1">
      <alignment vertical="top"/>
    </xf>
    <xf numFmtId="0" fontId="16" fillId="0" borderId="32" xfId="3" applyNumberFormat="1" applyFont="1" applyFill="1" applyBorder="1" applyAlignment="1" applyProtection="1">
      <alignment horizontal="center" vertical="top"/>
    </xf>
    <xf numFmtId="3" fontId="16" fillId="0" borderId="32" xfId="3" applyNumberFormat="1" applyFont="1" applyFill="1" applyBorder="1" applyAlignment="1" applyProtection="1">
      <alignment horizontal="center" vertical="top"/>
    </xf>
    <xf numFmtId="9" fontId="16" fillId="0" borderId="32" xfId="3" applyNumberFormat="1" applyFont="1" applyFill="1" applyBorder="1" applyAlignment="1" applyProtection="1">
      <alignment horizontal="center" vertical="top"/>
    </xf>
    <xf numFmtId="0" fontId="16" fillId="0" borderId="28" xfId="3" applyNumberFormat="1" applyFill="1" applyBorder="1" applyAlignment="1" applyProtection="1">
      <alignment horizontal="center" vertical="top"/>
    </xf>
    <xf numFmtId="3" fontId="16" fillId="0" borderId="28" xfId="3" applyNumberFormat="1" applyFont="1" applyFill="1" applyBorder="1" applyAlignment="1" applyProtection="1">
      <alignment horizontal="center" vertical="top"/>
    </xf>
    <xf numFmtId="168" fontId="16" fillId="0" borderId="28" xfId="3" applyNumberFormat="1" applyFill="1" applyBorder="1" applyAlignment="1" applyProtection="1">
      <alignment horizontal="right" vertical="top"/>
    </xf>
    <xf numFmtId="9" fontId="16" fillId="0" borderId="28" xfId="3" applyNumberFormat="1" applyFont="1" applyFill="1" applyBorder="1" applyAlignment="1" applyProtection="1">
      <alignment horizontal="center" vertical="top"/>
    </xf>
    <xf numFmtId="0" fontId="16" fillId="0" borderId="28" xfId="3" applyNumberFormat="1" applyFont="1" applyFill="1" applyBorder="1" applyAlignment="1" applyProtection="1">
      <alignment horizontal="center" vertical="top"/>
    </xf>
    <xf numFmtId="167" fontId="0" fillId="0" borderId="33" xfId="3" applyNumberFormat="1" applyFont="1" applyFill="1" applyBorder="1" applyAlignment="1" applyProtection="1">
      <alignment horizontal="right" vertical="top"/>
    </xf>
    <xf numFmtId="0" fontId="16" fillId="0" borderId="28" xfId="3" applyNumberFormat="1" applyFont="1" applyFill="1" applyBorder="1" applyAlignment="1" applyProtection="1">
      <alignment vertical="top"/>
    </xf>
    <xf numFmtId="4" fontId="16" fillId="0" borderId="0" xfId="3" applyNumberFormat="1" applyFont="1" applyFill="1" applyBorder="1" applyAlignment="1" applyProtection="1">
      <alignment horizontal="center" vertical="top"/>
    </xf>
    <xf numFmtId="9" fontId="16" fillId="0" borderId="0" xfId="3" applyNumberFormat="1" applyFont="1" applyFill="1" applyBorder="1" applyAlignment="1" applyProtection="1">
      <alignment horizontal="center" vertical="top"/>
    </xf>
    <xf numFmtId="0" fontId="16" fillId="0" borderId="29" xfId="3" applyNumberFormat="1" applyFill="1" applyBorder="1" applyAlignment="1" applyProtection="1">
      <alignment horizontal="center" vertical="top"/>
    </xf>
    <xf numFmtId="164" fontId="16" fillId="0" borderId="29" xfId="3" applyNumberFormat="1" applyFill="1" applyBorder="1" applyAlignment="1" applyProtection="1">
      <alignment horizontal="center" vertical="top"/>
    </xf>
    <xf numFmtId="9" fontId="16" fillId="0" borderId="29" xfId="3" applyNumberFormat="1" applyFont="1" applyFill="1" applyBorder="1" applyAlignment="1" applyProtection="1">
      <alignment horizontal="center" vertical="top"/>
    </xf>
    <xf numFmtId="0" fontId="16" fillId="0" borderId="29" xfId="3" applyNumberFormat="1" applyFont="1" applyFill="1" applyBorder="1" applyAlignment="1" applyProtection="1">
      <alignment horizontal="center" vertical="top"/>
    </xf>
    <xf numFmtId="167" fontId="16" fillId="0" borderId="30" xfId="3" applyNumberFormat="1" applyFill="1" applyBorder="1" applyAlignment="1" applyProtection="1">
      <alignment horizontal="center" vertical="top"/>
    </xf>
    <xf numFmtId="0" fontId="16" fillId="0" borderId="24" xfId="3" applyNumberFormat="1" applyFill="1" applyBorder="1" applyAlignment="1" applyProtection="1">
      <alignment horizontal="center" vertical="top"/>
    </xf>
    <xf numFmtId="167" fontId="17" fillId="0" borderId="33" xfId="3" applyNumberFormat="1" applyFont="1" applyFill="1" applyBorder="1" applyAlignment="1" applyProtection="1">
      <alignment horizontal="right" vertical="top"/>
    </xf>
    <xf numFmtId="0" fontId="16" fillId="0" borderId="34" xfId="3" applyNumberFormat="1" applyFill="1" applyBorder="1" applyAlignment="1" applyProtection="1">
      <alignment horizontal="center" vertical="top"/>
    </xf>
    <xf numFmtId="3" fontId="16" fillId="0" borderId="34" xfId="3" applyNumberFormat="1" applyFont="1" applyFill="1" applyBorder="1" applyAlignment="1" applyProtection="1">
      <alignment horizontal="center" vertical="top"/>
    </xf>
    <xf numFmtId="168" fontId="16" fillId="0" borderId="34" xfId="3" applyNumberFormat="1" applyFill="1" applyBorder="1" applyAlignment="1" applyProtection="1">
      <alignment horizontal="right" vertical="top"/>
    </xf>
    <xf numFmtId="9" fontId="16" fillId="0" borderId="34" xfId="3" applyNumberFormat="1" applyFont="1" applyFill="1" applyBorder="1" applyAlignment="1" applyProtection="1">
      <alignment horizontal="center" vertical="top"/>
    </xf>
    <xf numFmtId="0" fontId="16" fillId="0" borderId="34" xfId="3" applyNumberFormat="1" applyFont="1" applyFill="1" applyBorder="1" applyAlignment="1" applyProtection="1">
      <alignment horizontal="center" vertical="top"/>
    </xf>
    <xf numFmtId="167" fontId="17" fillId="0" borderId="35" xfId="3" applyNumberFormat="1" applyFont="1" applyFill="1" applyBorder="1" applyAlignment="1" applyProtection="1">
      <alignment horizontal="right" vertical="top"/>
    </xf>
    <xf numFmtId="3" fontId="16" fillId="0" borderId="24" xfId="3" applyNumberFormat="1" applyFont="1" applyFill="1" applyBorder="1" applyAlignment="1" applyProtection="1">
      <alignment horizontal="center" vertical="top"/>
    </xf>
    <xf numFmtId="164" fontId="16" fillId="0" borderId="32" xfId="3" applyNumberFormat="1" applyFont="1" applyFill="1" applyBorder="1" applyAlignment="1" applyProtection="1">
      <alignment horizontal="right" vertical="top"/>
    </xf>
    <xf numFmtId="167" fontId="16" fillId="0" borderId="36" xfId="3" applyNumberFormat="1" applyFont="1" applyFill="1" applyBorder="1" applyAlignment="1" applyProtection="1">
      <alignment horizontal="right" vertical="top"/>
    </xf>
    <xf numFmtId="0" fontId="16" fillId="0" borderId="28" xfId="3" applyNumberFormat="1" applyFill="1" applyBorder="1" applyAlignment="1" applyProtection="1">
      <alignment vertical="top"/>
    </xf>
    <xf numFmtId="167" fontId="16" fillId="0" borderId="33" xfId="3" applyNumberFormat="1" applyFont="1" applyFill="1" applyBorder="1" applyAlignment="1" applyProtection="1">
      <alignment horizontal="right" vertical="top"/>
    </xf>
    <xf numFmtId="0" fontId="16" fillId="0" borderId="34" xfId="3" applyNumberFormat="1" applyFill="1" applyBorder="1" applyAlignment="1" applyProtection="1">
      <alignment vertical="top"/>
    </xf>
    <xf numFmtId="164" fontId="16" fillId="0" borderId="34" xfId="3" applyNumberFormat="1" applyFont="1" applyFill="1" applyBorder="1" applyAlignment="1" applyProtection="1">
      <alignment horizontal="right" vertical="top"/>
    </xf>
    <xf numFmtId="167" fontId="16" fillId="0" borderId="35" xfId="3" applyNumberFormat="1" applyFont="1" applyFill="1" applyBorder="1" applyAlignment="1" applyProtection="1">
      <alignment horizontal="right" vertical="top"/>
    </xf>
    <xf numFmtId="168" fontId="16" fillId="0" borderId="28" xfId="3" applyNumberFormat="1" applyFont="1" applyFill="1" applyBorder="1" applyAlignment="1" applyProtection="1">
      <alignment horizontal="right" vertical="top"/>
    </xf>
    <xf numFmtId="0" fontId="18" fillId="0" borderId="34" xfId="3" applyNumberFormat="1" applyFont="1" applyFill="1" applyBorder="1" applyAlignment="1" applyProtection="1">
      <alignment vertical="top"/>
    </xf>
    <xf numFmtId="0" fontId="18" fillId="0" borderId="34" xfId="3" applyNumberFormat="1" applyFont="1" applyFill="1" applyBorder="1" applyAlignment="1" applyProtection="1">
      <alignment horizontal="center" vertical="top"/>
    </xf>
    <xf numFmtId="3" fontId="18" fillId="0" borderId="34" xfId="3" applyNumberFormat="1" applyFont="1" applyFill="1" applyBorder="1" applyAlignment="1" applyProtection="1">
      <alignment horizontal="center" vertical="top"/>
    </xf>
    <xf numFmtId="164" fontId="18" fillId="0" borderId="34" xfId="3" applyNumberFormat="1" applyFont="1" applyFill="1" applyBorder="1" applyAlignment="1" applyProtection="1">
      <alignment horizontal="right" vertical="top"/>
    </xf>
    <xf numFmtId="9" fontId="18" fillId="0" borderId="34" xfId="3" applyNumberFormat="1" applyFont="1" applyFill="1" applyBorder="1" applyAlignment="1" applyProtection="1">
      <alignment horizontal="center" vertical="top"/>
    </xf>
    <xf numFmtId="167" fontId="18" fillId="0" borderId="35" xfId="3" applyNumberFormat="1" applyFont="1" applyFill="1" applyBorder="1" applyAlignment="1" applyProtection="1">
      <alignment horizontal="right" vertical="top"/>
    </xf>
    <xf numFmtId="0" fontId="18" fillId="0" borderId="2" xfId="3" applyNumberFormat="1" applyFont="1" applyFill="1" applyBorder="1" applyAlignment="1" applyProtection="1">
      <alignment vertical="top"/>
    </xf>
    <xf numFmtId="0" fontId="18" fillId="0" borderId="2" xfId="3" applyNumberFormat="1" applyFont="1" applyFill="1" applyBorder="1" applyAlignment="1" applyProtection="1">
      <alignment horizontal="center" vertical="top"/>
    </xf>
    <xf numFmtId="3" fontId="18" fillId="0" borderId="2" xfId="3" applyNumberFormat="1" applyFont="1" applyFill="1" applyBorder="1" applyAlignment="1" applyProtection="1">
      <alignment horizontal="center" vertical="top"/>
    </xf>
    <xf numFmtId="164" fontId="18" fillId="0" borderId="2" xfId="3" applyNumberFormat="1" applyFont="1" applyFill="1" applyBorder="1" applyAlignment="1" applyProtection="1">
      <alignment horizontal="right" vertical="top"/>
    </xf>
    <xf numFmtId="9" fontId="18" fillId="0" borderId="2" xfId="3" applyNumberFormat="1" applyFont="1" applyFill="1" applyBorder="1" applyAlignment="1" applyProtection="1">
      <alignment horizontal="center" vertical="top"/>
    </xf>
    <xf numFmtId="167" fontId="18" fillId="0" borderId="2" xfId="3" applyNumberFormat="1" applyFont="1" applyFill="1" applyBorder="1" applyAlignment="1" applyProtection="1">
      <alignment horizontal="right" vertical="top"/>
    </xf>
    <xf numFmtId="0" fontId="16" fillId="0" borderId="2" xfId="3" applyNumberFormat="1" applyFill="1" applyBorder="1" applyAlignment="1" applyProtection="1">
      <alignment vertical="top"/>
    </xf>
    <xf numFmtId="4" fontId="19" fillId="0" borderId="2" xfId="3" applyNumberFormat="1" applyFont="1" applyFill="1" applyBorder="1" applyAlignment="1" applyProtection="1">
      <alignment vertical="top"/>
    </xf>
    <xf numFmtId="167" fontId="16" fillId="0" borderId="2" xfId="3" applyNumberFormat="1" applyFont="1" applyFill="1" applyBorder="1" applyAlignment="1" applyProtection="1">
      <alignment horizontal="right" vertical="top"/>
    </xf>
    <xf numFmtId="9" fontId="16" fillId="0" borderId="2" xfId="3" applyNumberFormat="1" applyFont="1" applyFill="1" applyBorder="1" applyAlignment="1" applyProtection="1">
      <alignment vertical="top"/>
    </xf>
    <xf numFmtId="4" fontId="19" fillId="0" borderId="0" xfId="3" applyNumberFormat="1" applyFont="1" applyFill="1" applyBorder="1" applyAlignment="1" applyProtection="1">
      <alignment vertical="top"/>
    </xf>
    <xf numFmtId="164" fontId="19" fillId="0" borderId="2" xfId="3" applyNumberFormat="1" applyFont="1" applyFill="1" applyBorder="1" applyAlignment="1" applyProtection="1">
      <alignment horizontal="right" vertical="top"/>
    </xf>
    <xf numFmtId="169" fontId="16" fillId="0" borderId="2" xfId="3" applyNumberFormat="1" applyFont="1" applyFill="1" applyBorder="1" applyAlignment="1" applyProtection="1">
      <alignment vertical="top"/>
    </xf>
    <xf numFmtId="167" fontId="16" fillId="0" borderId="37" xfId="3" applyNumberFormat="1" applyFont="1" applyFill="1" applyBorder="1" applyAlignment="1" applyProtection="1">
      <alignment horizontal="right" vertical="top"/>
    </xf>
    <xf numFmtId="4" fontId="19" fillId="7" borderId="2" xfId="3" applyNumberFormat="1" applyFont="1" applyFill="1" applyBorder="1" applyAlignment="1" applyProtection="1">
      <alignment vertical="top"/>
    </xf>
    <xf numFmtId="167" fontId="16" fillId="0" borderId="0" xfId="3" applyNumberFormat="1"/>
    <xf numFmtId="167" fontId="18" fillId="0" borderId="0" xfId="3" applyNumberFormat="1" applyFont="1"/>
    <xf numFmtId="4" fontId="16" fillId="0" borderId="0" xfId="3" applyNumberFormat="1" applyFont="1" applyFill="1" applyBorder="1" applyAlignment="1" applyProtection="1">
      <alignment vertical="top"/>
    </xf>
    <xf numFmtId="0" fontId="0" fillId="2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4" fillId="2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166" fontId="14" fillId="0" borderId="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  <protection hidden="1"/>
    </xf>
    <xf numFmtId="0" fontId="3" fillId="2" borderId="0" xfId="0" applyNumberFormat="1" applyFont="1" applyFill="1" applyBorder="1" applyAlignment="1" applyProtection="1">
      <alignment horizontal="left" vertical="top"/>
      <protection hidden="1"/>
    </xf>
    <xf numFmtId="0" fontId="3" fillId="0" borderId="0" xfId="0" applyNumberFormat="1" applyFont="1" applyFill="1" applyBorder="1" applyAlignment="1" applyProtection="1">
      <alignment horizontal="left" vertical="top"/>
      <protection hidden="1"/>
    </xf>
    <xf numFmtId="0" fontId="20" fillId="0" borderId="0" xfId="0" applyNumberFormat="1" applyFont="1" applyFill="1" applyBorder="1" applyAlignment="1" applyProtection="1">
      <alignment vertical="top"/>
      <protection hidden="1"/>
    </xf>
    <xf numFmtId="166" fontId="3" fillId="0" borderId="0" xfId="0" applyNumberFormat="1" applyFont="1" applyFill="1" applyBorder="1" applyAlignment="1" applyProtection="1">
      <alignment vertical="top"/>
      <protection hidden="1"/>
    </xf>
    <xf numFmtId="0" fontId="2" fillId="0" borderId="38" xfId="0" applyNumberFormat="1" applyFont="1" applyFill="1" applyBorder="1" applyAlignment="1" applyProtection="1">
      <alignment horizontal="center" vertical="top" wrapText="1"/>
      <protection hidden="1"/>
    </xf>
    <xf numFmtId="0" fontId="2" fillId="2" borderId="29" xfId="0" applyNumberFormat="1" applyFont="1" applyFill="1" applyBorder="1" applyAlignment="1" applyProtection="1">
      <alignment horizontal="center" vertical="top"/>
      <protection hidden="1"/>
    </xf>
    <xf numFmtId="0" fontId="2" fillId="0" borderId="29" xfId="0" applyNumberFormat="1" applyFont="1" applyFill="1" applyBorder="1" applyAlignment="1" applyProtection="1">
      <alignment horizontal="center" vertical="top" wrapText="1"/>
      <protection hidden="1"/>
    </xf>
    <xf numFmtId="166" fontId="2" fillId="0" borderId="29" xfId="0" applyNumberFormat="1" applyFont="1" applyFill="1" applyBorder="1" applyAlignment="1" applyProtection="1">
      <alignment horizontal="center" vertical="top" wrapText="1"/>
      <protection hidden="1"/>
    </xf>
    <xf numFmtId="49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4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3" fillId="2" borderId="2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" xfId="8" applyNumberFormat="1" applyFont="1" applyFill="1" applyBorder="1" applyAlignment="1" applyProtection="1">
      <alignment horizontal="left" vertical="center" wrapText="1"/>
    </xf>
    <xf numFmtId="49" fontId="22" fillId="0" borderId="2" xfId="8" applyNumberFormat="1" applyFont="1" applyFill="1" applyBorder="1" applyAlignment="1" applyProtection="1">
      <alignment horizontal="center" vertical="center"/>
    </xf>
    <xf numFmtId="49" fontId="23" fillId="2" borderId="2" xfId="8" applyNumberFormat="1" applyFont="1" applyFill="1" applyBorder="1" applyAlignment="1" applyProtection="1">
      <alignment horizontal="left" vertical="center" wrapText="1"/>
    </xf>
    <xf numFmtId="49" fontId="23" fillId="2" borderId="2" xfId="8" applyNumberFormat="1" applyFont="1" applyFill="1" applyBorder="1" applyAlignment="1" applyProtection="1">
      <alignment horizontal="justify" vertical="center" wrapText="1"/>
    </xf>
    <xf numFmtId="0" fontId="22" fillId="2" borderId="2" xfId="0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center" vertical="center"/>
      <protection hidden="1"/>
    </xf>
    <xf numFmtId="49" fontId="23" fillId="0" borderId="2" xfId="0" applyNumberFormat="1" applyFont="1" applyFill="1" applyBorder="1" applyAlignment="1" applyProtection="1">
      <alignment horizontal="center" vertical="center"/>
      <protection hidden="1"/>
    </xf>
    <xf numFmtId="49" fontId="23" fillId="2" borderId="24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23" fillId="2" borderId="32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0" applyNumberFormat="1" applyFont="1" applyFill="1" applyBorder="1" applyAlignment="1" applyProtection="1">
      <alignment horizontal="center" vertical="center" wrapText="1"/>
      <protection hidden="1"/>
    </xf>
    <xf numFmtId="166" fontId="23" fillId="0" borderId="24" xfId="0" applyNumberFormat="1" applyFont="1" applyFill="1" applyBorder="1" applyAlignment="1" applyProtection="1">
      <alignment horizontal="center" vertical="center" wrapText="1"/>
      <protection hidden="1"/>
    </xf>
    <xf numFmtId="166" fontId="23" fillId="0" borderId="2" xfId="0" applyNumberFormat="1" applyFont="1" applyFill="1" applyBorder="1" applyAlignment="1" applyProtection="1">
      <alignment horizontal="center" vertical="center"/>
      <protection hidden="1"/>
    </xf>
    <xf numFmtId="165" fontId="22" fillId="0" borderId="24" xfId="0" applyNumberFormat="1" applyFont="1" applyFill="1" applyBorder="1" applyAlignment="1" applyProtection="1">
      <alignment horizontal="center" vertical="center" wrapText="1"/>
      <protection hidden="1"/>
    </xf>
    <xf numFmtId="165" fontId="22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5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32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24" xfId="0" applyNumberFormat="1" applyFont="1" applyFill="1" applyBorder="1" applyAlignment="1" applyProtection="1">
      <alignment horizontal="center" vertical="center" wrapText="1"/>
      <protection hidden="1"/>
    </xf>
    <xf numFmtId="165" fontId="22" fillId="2" borderId="29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2" xfId="0" applyNumberFormat="1" applyFont="1" applyFill="1" applyBorder="1" applyAlignment="1" applyProtection="1">
      <alignment horizontal="center" vertical="center"/>
      <protection hidden="1"/>
    </xf>
    <xf numFmtId="165" fontId="23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22" fillId="0" borderId="2" xfId="0" applyNumberFormat="1" applyFont="1" applyFill="1" applyBorder="1" applyAlignment="1" applyProtection="1">
      <alignment horizontal="center" vertical="center"/>
      <protection hidden="1"/>
    </xf>
    <xf numFmtId="0" fontId="22" fillId="2" borderId="24" xfId="0" applyFont="1" applyFill="1" applyBorder="1" applyAlignment="1">
      <alignment horizontal="left" vertical="center" wrapText="1"/>
    </xf>
    <xf numFmtId="170" fontId="22" fillId="2" borderId="24" xfId="0" applyNumberFormat="1" applyFont="1" applyFill="1" applyBorder="1" applyAlignment="1" applyProtection="1">
      <alignment horizontal="justify" vertical="center" wrapText="1"/>
      <protection hidden="1"/>
    </xf>
    <xf numFmtId="49" fontId="23" fillId="0" borderId="2" xfId="8" applyNumberFormat="1" applyFont="1" applyFill="1" applyBorder="1" applyAlignment="1" applyProtection="1">
      <alignment horizontal="center" vertical="center"/>
    </xf>
    <xf numFmtId="165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23" fillId="0" borderId="32" xfId="8" applyNumberFormat="1" applyFont="1" applyFill="1" applyBorder="1" applyAlignment="1" applyProtection="1">
      <alignment horizontal="center" vertical="center"/>
    </xf>
    <xf numFmtId="49" fontId="22" fillId="2" borderId="39" xfId="0" applyNumberFormat="1" applyFont="1" applyFill="1" applyBorder="1" applyAlignment="1" applyProtection="1">
      <alignment horizontal="left" vertical="center" wrapText="1"/>
      <protection hidden="1"/>
    </xf>
    <xf numFmtId="49" fontId="23" fillId="2" borderId="39" xfId="8" applyNumberFormat="1" applyFont="1" applyFill="1" applyBorder="1" applyAlignment="1" applyProtection="1">
      <alignment horizontal="left" vertical="center" wrapText="1"/>
    </xf>
    <xf numFmtId="49" fontId="23" fillId="2" borderId="39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29" xfId="0" applyNumberFormat="1" applyFont="1" applyFill="1" applyBorder="1" applyAlignment="1" applyProtection="1">
      <alignment horizontal="center" vertical="center"/>
      <protection hidden="1"/>
    </xf>
    <xf numFmtId="165" fontId="22" fillId="2" borderId="24" xfId="0" applyNumberFormat="1" applyFont="1" applyFill="1" applyBorder="1" applyAlignment="1" applyProtection="1">
      <alignment horizontal="center" vertical="center" wrapText="1"/>
      <protection hidden="1"/>
    </xf>
    <xf numFmtId="165" fontId="22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22" fillId="0" borderId="2" xfId="5" applyNumberFormat="1" applyFont="1" applyFill="1" applyBorder="1" applyAlignment="1" applyProtection="1">
      <alignment horizontal="center" vertical="center"/>
    </xf>
    <xf numFmtId="49" fontId="21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1" fillId="2" borderId="37" xfId="0" applyNumberFormat="1" applyFont="1" applyFill="1" applyBorder="1" applyAlignment="1" applyProtection="1">
      <alignment horizontal="left" vertical="center" wrapText="1"/>
      <protection hidden="1"/>
    </xf>
    <xf numFmtId="166" fontId="21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37" xfId="0" applyNumberFormat="1" applyFont="1" applyFill="1" applyBorder="1" applyAlignment="1" applyProtection="1">
      <alignment horizontal="left" vertical="center" wrapText="1"/>
      <protection hidden="1"/>
    </xf>
    <xf numFmtId="49" fontId="22" fillId="2" borderId="37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37" xfId="0" applyNumberFormat="1" applyFont="1" applyFill="1" applyBorder="1" applyAlignment="1" applyProtection="1">
      <alignment horizontal="center" vertical="center" wrapText="1"/>
      <protection hidden="1"/>
    </xf>
    <xf numFmtId="166" fontId="22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3" fillId="0" borderId="37" xfId="0" applyNumberFormat="1" applyFont="1" applyFill="1" applyBorder="1" applyAlignment="1" applyProtection="1">
      <alignment horizontal="left" vertical="center" wrapText="1"/>
      <protection hidden="1"/>
    </xf>
    <xf numFmtId="49" fontId="23" fillId="2" borderId="37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0" applyNumberFormat="1" applyFont="1" applyFill="1" applyBorder="1" applyAlignment="1" applyProtection="1">
      <alignment horizontal="center" vertical="center" wrapText="1"/>
      <protection hidden="1"/>
    </xf>
    <xf numFmtId="166" fontId="23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37" xfId="8" applyNumberFormat="1" applyFont="1" applyFill="1" applyBorder="1" applyAlignment="1" applyProtection="1">
      <alignment horizontal="left" vertical="center" wrapText="1"/>
    </xf>
    <xf numFmtId="49" fontId="22" fillId="0" borderId="37" xfId="8" applyNumberFormat="1" applyFont="1" applyFill="1" applyBorder="1" applyAlignment="1" applyProtection="1">
      <alignment horizontal="center" vertical="center"/>
    </xf>
    <xf numFmtId="49" fontId="23" fillId="2" borderId="37" xfId="8" applyNumberFormat="1" applyFont="1" applyFill="1" applyBorder="1" applyAlignment="1" applyProtection="1">
      <alignment horizontal="left" vertical="center" wrapText="1"/>
    </xf>
    <xf numFmtId="49" fontId="23" fillId="2" borderId="37" xfId="8" applyNumberFormat="1" applyFont="1" applyFill="1" applyBorder="1" applyAlignment="1" applyProtection="1">
      <alignment horizontal="justify" vertical="center" wrapText="1"/>
    </xf>
    <xf numFmtId="49" fontId="22" fillId="0" borderId="37" xfId="0" applyNumberFormat="1" applyFont="1" applyFill="1" applyBorder="1" applyAlignment="1">
      <alignment vertical="center"/>
    </xf>
    <xf numFmtId="0" fontId="22" fillId="2" borderId="37" xfId="0" applyFont="1" applyFill="1" applyBorder="1" applyAlignment="1">
      <alignment horizontal="left" vertical="center" wrapText="1"/>
    </xf>
    <xf numFmtId="49" fontId="23" fillId="0" borderId="37" xfId="0" applyNumberFormat="1" applyFont="1" applyFill="1" applyBorder="1" applyAlignment="1" applyProtection="1">
      <alignment vertical="center" wrapText="1"/>
      <protection hidden="1"/>
    </xf>
    <xf numFmtId="49" fontId="23" fillId="2" borderId="37" xfId="0" applyNumberFormat="1" applyFont="1" applyFill="1" applyBorder="1" applyAlignment="1" applyProtection="1">
      <alignment horizontal="justify" vertical="center" wrapText="1"/>
      <protection hidden="1"/>
    </xf>
    <xf numFmtId="49" fontId="22" fillId="0" borderId="37" xfId="0" applyNumberFormat="1" applyFont="1" applyFill="1" applyBorder="1" applyAlignment="1" applyProtection="1">
      <alignment horizontal="center" vertical="center"/>
      <protection hidden="1"/>
    </xf>
    <xf numFmtId="0" fontId="23" fillId="2" borderId="37" xfId="0" applyFont="1" applyFill="1" applyBorder="1" applyAlignment="1">
      <alignment horizontal="left" vertical="center" wrapText="1"/>
    </xf>
    <xf numFmtId="49" fontId="23" fillId="0" borderId="37" xfId="0" applyNumberFormat="1" applyFont="1" applyFill="1" applyBorder="1" applyAlignment="1" applyProtection="1">
      <alignment horizontal="center" vertical="center"/>
      <protection hidden="1"/>
    </xf>
    <xf numFmtId="49" fontId="22" fillId="8" borderId="37" xfId="0" applyNumberFormat="1" applyFont="1" applyFill="1" applyBorder="1" applyAlignment="1" applyProtection="1">
      <alignment horizontal="center" vertical="center" wrapText="1"/>
      <protection hidden="1"/>
    </xf>
    <xf numFmtId="2" fontId="22" fillId="6" borderId="37" xfId="0" applyNumberFormat="1" applyFont="1" applyFill="1" applyBorder="1" applyAlignment="1" applyProtection="1">
      <alignment horizontal="center" vertical="center" wrapText="1"/>
      <protection hidden="1"/>
    </xf>
    <xf numFmtId="49" fontId="21" fillId="8" borderId="37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37" xfId="0" applyNumberFormat="1" applyFont="1" applyFill="1" applyBorder="1" applyAlignment="1" applyProtection="1">
      <alignment vertical="center" wrapText="1"/>
      <protection hidden="1"/>
    </xf>
    <xf numFmtId="49" fontId="23" fillId="0" borderId="37" xfId="0" applyNumberFormat="1" applyFont="1" applyFill="1" applyBorder="1" applyAlignment="1">
      <alignment vertical="center"/>
    </xf>
    <xf numFmtId="166" fontId="23" fillId="0" borderId="37" xfId="0" applyNumberFormat="1" applyFont="1" applyFill="1" applyBorder="1" applyAlignment="1" applyProtection="1">
      <alignment horizontal="center" vertical="center"/>
      <protection hidden="1"/>
    </xf>
    <xf numFmtId="49" fontId="23" fillId="8" borderId="37" xfId="0" applyNumberFormat="1" applyFont="1" applyFill="1" applyBorder="1" applyAlignment="1" applyProtection="1">
      <alignment horizontal="center" vertical="center" wrapText="1"/>
      <protection hidden="1"/>
    </xf>
    <xf numFmtId="166" fontId="22" fillId="0" borderId="37" xfId="0" applyNumberFormat="1" applyFont="1" applyFill="1" applyBorder="1" applyAlignment="1" applyProtection="1">
      <alignment horizontal="center" vertical="center"/>
      <protection hidden="1"/>
    </xf>
    <xf numFmtId="49" fontId="23" fillId="2" borderId="37" xfId="8" applyNumberFormat="1" applyFont="1" applyFill="1" applyBorder="1" applyAlignment="1" applyProtection="1">
      <alignment horizontal="justify" vertical="center"/>
    </xf>
    <xf numFmtId="49" fontId="23" fillId="2" borderId="37" xfId="8" applyNumberFormat="1" applyFont="1" applyFill="1" applyBorder="1" applyAlignment="1" applyProtection="1">
      <alignment horizontal="justify" vertical="top"/>
    </xf>
    <xf numFmtId="0" fontId="22" fillId="0" borderId="37" xfId="0" applyNumberFormat="1" applyFont="1" applyFill="1" applyBorder="1" applyAlignment="1" applyProtection="1">
      <alignment horizontal="center" vertical="center"/>
    </xf>
    <xf numFmtId="166" fontId="22" fillId="0" borderId="37" xfId="0" applyNumberFormat="1" applyFont="1" applyFill="1" applyBorder="1" applyAlignment="1" applyProtection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/>
    </xf>
    <xf numFmtId="166" fontId="23" fillId="0" borderId="37" xfId="0" applyNumberFormat="1" applyFont="1" applyFill="1" applyBorder="1" applyAlignment="1" applyProtection="1">
      <alignment horizontal="center" vertical="center"/>
    </xf>
    <xf numFmtId="49" fontId="22" fillId="0" borderId="37" xfId="0" applyNumberFormat="1" applyFont="1" applyFill="1" applyBorder="1" applyAlignment="1" applyProtection="1">
      <alignment vertical="center"/>
      <protection hidden="1"/>
    </xf>
    <xf numFmtId="49" fontId="23" fillId="0" borderId="37" xfId="0" applyNumberFormat="1" applyFont="1" applyFill="1" applyBorder="1" applyAlignment="1" applyProtection="1">
      <alignment vertical="center"/>
      <protection hidden="1"/>
    </xf>
    <xf numFmtId="49" fontId="23" fillId="2" borderId="37" xfId="0" applyNumberFormat="1" applyFont="1" applyFill="1" applyBorder="1" applyAlignment="1" applyProtection="1">
      <alignment horizontal="left" vertical="top" wrapText="1"/>
      <protection hidden="1"/>
    </xf>
    <xf numFmtId="2" fontId="22" fillId="0" borderId="37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29" xfId="4" applyNumberFormat="1" applyFont="1" applyFill="1" applyBorder="1" applyAlignment="1" applyProtection="1">
      <alignment horizontal="center" vertical="top" wrapText="1"/>
    </xf>
    <xf numFmtId="166" fontId="2" fillId="2" borderId="30" xfId="4" applyNumberFormat="1" applyFont="1" applyFill="1" applyBorder="1" applyAlignment="1" applyProtection="1">
      <alignment horizontal="center" vertical="center" wrapText="1"/>
    </xf>
    <xf numFmtId="166" fontId="23" fillId="8" borderId="37" xfId="0" applyNumberFormat="1" applyFont="1" applyFill="1" applyBorder="1" applyAlignment="1" applyProtection="1">
      <alignment horizontal="center" vertical="center" wrapText="1"/>
      <protection hidden="1"/>
    </xf>
    <xf numFmtId="2" fontId="23" fillId="6" borderId="37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37" xfId="0" applyNumberFormat="1" applyFont="1" applyFill="1" applyBorder="1" applyAlignment="1" applyProtection="1">
      <alignment vertical="center"/>
    </xf>
    <xf numFmtId="0" fontId="23" fillId="0" borderId="37" xfId="0" applyNumberFormat="1" applyFont="1" applyFill="1" applyBorder="1" applyAlignment="1" applyProtection="1">
      <alignment vertical="center"/>
    </xf>
    <xf numFmtId="49" fontId="22" fillId="2" borderId="37" xfId="0" applyNumberFormat="1" applyFont="1" applyFill="1" applyBorder="1" applyAlignment="1" applyProtection="1">
      <alignment horizontal="justify" vertical="center" wrapText="1"/>
      <protection hidden="1"/>
    </xf>
    <xf numFmtId="170" fontId="22" fillId="0" borderId="37" xfId="0" applyNumberFormat="1" applyFont="1" applyFill="1" applyBorder="1" applyAlignment="1" applyProtection="1">
      <alignment horizontal="center" vertical="center" wrapText="1"/>
      <protection hidden="1"/>
    </xf>
    <xf numFmtId="170" fontId="23" fillId="0" borderId="37" xfId="0" applyNumberFormat="1" applyFont="1" applyFill="1" applyBorder="1" applyAlignment="1" applyProtection="1">
      <alignment horizontal="center" vertical="center" wrapText="1"/>
      <protection hidden="1"/>
    </xf>
    <xf numFmtId="170" fontId="22" fillId="2" borderId="37" xfId="0" applyNumberFormat="1" applyFont="1" applyFill="1" applyBorder="1" applyAlignment="1" applyProtection="1">
      <alignment horizontal="justify" vertical="center" wrapText="1"/>
      <protection hidden="1"/>
    </xf>
    <xf numFmtId="49" fontId="22" fillId="8" borderId="37" xfId="0" applyNumberFormat="1" applyFont="1" applyFill="1" applyBorder="1" applyAlignment="1" applyProtection="1">
      <alignment vertical="center" wrapText="1"/>
      <protection hidden="1"/>
    </xf>
    <xf numFmtId="49" fontId="23" fillId="0" borderId="37" xfId="8" applyNumberFormat="1" applyFont="1" applyFill="1" applyBorder="1" applyAlignment="1" applyProtection="1">
      <alignment vertical="center"/>
    </xf>
    <xf numFmtId="49" fontId="23" fillId="0" borderId="37" xfId="8" applyNumberFormat="1" applyFont="1" applyFill="1" applyBorder="1" applyAlignment="1" applyProtection="1">
      <alignment horizontal="center" vertical="center"/>
    </xf>
    <xf numFmtId="49" fontId="23" fillId="0" borderId="37" xfId="8" applyNumberFormat="1" applyFont="1" applyFill="1" applyBorder="1" applyAlignment="1" applyProtection="1">
      <alignment horizontal="center" vertical="center" wrapText="1"/>
    </xf>
    <xf numFmtId="49" fontId="22" fillId="0" borderId="37" xfId="8" applyNumberFormat="1" applyFont="1" applyFill="1" applyBorder="1" applyAlignment="1" applyProtection="1">
      <alignment vertical="center"/>
    </xf>
    <xf numFmtId="49" fontId="22" fillId="2" borderId="37" xfId="8" applyNumberFormat="1" applyFont="1" applyFill="1" applyBorder="1" applyAlignment="1" applyProtection="1">
      <alignment horizontal="justify" vertical="center" wrapText="1"/>
    </xf>
    <xf numFmtId="49" fontId="22" fillId="0" borderId="37" xfId="8" applyNumberFormat="1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166" fontId="23" fillId="0" borderId="37" xfId="8" applyNumberFormat="1" applyFont="1" applyFill="1" applyBorder="1" applyAlignment="1" applyProtection="1">
      <alignment horizontal="center" vertical="center"/>
    </xf>
    <xf numFmtId="166" fontId="23" fillId="0" borderId="37" xfId="5" applyNumberFormat="1" applyFont="1" applyFill="1" applyBorder="1" applyAlignment="1" applyProtection="1">
      <alignment horizontal="center" vertical="center"/>
    </xf>
    <xf numFmtId="0" fontId="22" fillId="8" borderId="37" xfId="0" applyNumberFormat="1" applyFont="1" applyFill="1" applyBorder="1" applyAlignment="1" applyProtection="1">
      <alignment horizontal="center" vertical="center"/>
    </xf>
    <xf numFmtId="166" fontId="22" fillId="8" borderId="37" xfId="0" applyNumberFormat="1" applyFont="1" applyFill="1" applyBorder="1" applyAlignment="1" applyProtection="1">
      <alignment horizontal="center" vertical="center"/>
    </xf>
    <xf numFmtId="49" fontId="23" fillId="8" borderId="37" xfId="0" applyNumberFormat="1" applyFont="1" applyFill="1" applyBorder="1" applyAlignment="1">
      <alignment vertical="center"/>
    </xf>
    <xf numFmtId="49" fontId="23" fillId="8" borderId="37" xfId="0" applyNumberFormat="1" applyFont="1" applyFill="1" applyBorder="1" applyAlignment="1" applyProtection="1">
      <alignment horizontal="center" vertical="center"/>
      <protection hidden="1"/>
    </xf>
    <xf numFmtId="166" fontId="23" fillId="8" borderId="37" xfId="0" applyNumberFormat="1" applyFont="1" applyFill="1" applyBorder="1" applyAlignment="1" applyProtection="1">
      <alignment horizontal="center" vertical="center"/>
      <protection hidden="1"/>
    </xf>
    <xf numFmtId="49" fontId="22" fillId="2" borderId="37" xfId="8" applyNumberFormat="1" applyFont="1" applyFill="1" applyBorder="1" applyAlignment="1" applyProtection="1">
      <alignment horizontal="justify" vertical="center"/>
    </xf>
    <xf numFmtId="49" fontId="2" fillId="0" borderId="37" xfId="0" applyNumberFormat="1" applyFont="1" applyFill="1" applyBorder="1" applyAlignment="1" applyProtection="1">
      <alignment horizontal="center" vertical="center"/>
      <protection hidden="1"/>
    </xf>
    <xf numFmtId="49" fontId="2" fillId="2" borderId="37" xfId="0" applyNumberFormat="1" applyFont="1" applyFill="1" applyBorder="1" applyAlignment="1" applyProtection="1">
      <alignment horizontal="left" vertical="center"/>
      <protection hidden="1"/>
    </xf>
    <xf numFmtId="49" fontId="2" fillId="0" borderId="37" xfId="0" applyNumberFormat="1" applyFont="1" applyFill="1" applyBorder="1" applyAlignment="1" applyProtection="1">
      <alignment horizontal="left" vertical="center"/>
      <protection hidden="1"/>
    </xf>
    <xf numFmtId="0" fontId="3" fillId="0" borderId="37" xfId="0" applyNumberFormat="1" applyFont="1" applyFill="1" applyBorder="1" applyAlignment="1" applyProtection="1">
      <alignment horizontal="center" vertical="center"/>
    </xf>
    <xf numFmtId="166" fontId="3" fillId="0" borderId="37" xfId="0" applyNumberFormat="1" applyFont="1" applyFill="1" applyBorder="1" applyAlignment="1" applyProtection="1">
      <alignment horizontal="center" vertical="center"/>
    </xf>
    <xf numFmtId="0" fontId="22" fillId="8" borderId="37" xfId="0" applyNumberFormat="1" applyFont="1" applyFill="1" applyBorder="1" applyAlignment="1" applyProtection="1">
      <alignment vertical="center"/>
    </xf>
    <xf numFmtId="166" fontId="22" fillId="8" borderId="37" xfId="0" applyNumberFormat="1" applyFont="1" applyFill="1" applyBorder="1" applyAlignment="1" applyProtection="1">
      <alignment horizontal="center" vertical="center" wrapText="1"/>
      <protection hidden="1"/>
    </xf>
    <xf numFmtId="165" fontId="22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0" applyNumberFormat="1" applyFont="1" applyFill="1" applyBorder="1" applyAlignment="1" applyProtection="1">
      <alignment vertical="center"/>
    </xf>
    <xf numFmtId="166" fontId="2" fillId="0" borderId="37" xfId="0" applyNumberFormat="1" applyFont="1" applyFill="1" applyBorder="1" applyAlignment="1" applyProtection="1">
      <alignment horizontal="center" vertical="center"/>
      <protection hidden="1"/>
    </xf>
    <xf numFmtId="0" fontId="2" fillId="2" borderId="38" xfId="0" applyNumberFormat="1" applyFont="1" applyFill="1" applyBorder="1" applyAlignment="1" applyProtection="1">
      <alignment horizontal="center" vertical="top"/>
      <protection hidden="1"/>
    </xf>
    <xf numFmtId="49" fontId="22" fillId="2" borderId="22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34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39" xfId="8" applyNumberFormat="1" applyFont="1" applyFill="1" applyBorder="1" applyAlignment="1" applyProtection="1">
      <alignment horizontal="left" vertical="center" wrapText="1"/>
    </xf>
    <xf numFmtId="49" fontId="23" fillId="2" borderId="39" xfId="8" applyNumberFormat="1" applyFont="1" applyFill="1" applyBorder="1" applyAlignment="1" applyProtection="1">
      <alignment horizontal="justify" vertical="center" wrapText="1"/>
    </xf>
    <xf numFmtId="0" fontId="22" fillId="2" borderId="39" xfId="0" applyFont="1" applyFill="1" applyBorder="1" applyAlignment="1">
      <alignment horizontal="left" vertical="center" wrapText="1"/>
    </xf>
    <xf numFmtId="49" fontId="23" fillId="2" borderId="39" xfId="8" applyNumberFormat="1" applyFont="1" applyFill="1" applyBorder="1" applyAlignment="1" applyProtection="1">
      <alignment horizontal="justify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23" fillId="2" borderId="39" xfId="8" applyNumberFormat="1" applyFont="1" applyFill="1" applyBorder="1" applyAlignment="1" applyProtection="1">
      <alignment horizontal="left" vertical="top" wrapText="1"/>
    </xf>
    <xf numFmtId="0" fontId="23" fillId="2" borderId="39" xfId="0" applyFont="1" applyFill="1" applyBorder="1" applyAlignment="1">
      <alignment horizontal="left" vertical="center" wrapText="1"/>
    </xf>
    <xf numFmtId="49" fontId="23" fillId="2" borderId="39" xfId="0" applyNumberFormat="1" applyFont="1" applyFill="1" applyBorder="1" applyAlignment="1" applyProtection="1">
      <alignment horizontal="left" vertical="top" wrapText="1"/>
      <protection hidden="1"/>
    </xf>
    <xf numFmtId="49" fontId="23" fillId="2" borderId="39" xfId="0" applyNumberFormat="1" applyFont="1" applyFill="1" applyBorder="1" applyAlignment="1" applyProtection="1">
      <alignment horizontal="justify" vertical="center" wrapText="1"/>
      <protection hidden="1"/>
    </xf>
    <xf numFmtId="165" fontId="22" fillId="0" borderId="2" xfId="0" applyNumberFormat="1" applyFont="1" applyFill="1" applyBorder="1" applyAlignment="1">
      <alignment horizontal="center" vertical="center" wrapText="1"/>
    </xf>
    <xf numFmtId="49" fontId="23" fillId="2" borderId="40" xfId="0" applyNumberFormat="1" applyFont="1" applyFill="1" applyBorder="1" applyAlignment="1" applyProtection="1">
      <alignment horizontal="left" vertical="center" wrapText="1"/>
      <protection hidden="1"/>
    </xf>
    <xf numFmtId="49" fontId="22" fillId="2" borderId="24" xfId="8" applyNumberFormat="1" applyFont="1" applyFill="1" applyBorder="1" applyAlignment="1" applyProtection="1">
      <alignment horizontal="left" vertical="center" wrapText="1"/>
    </xf>
    <xf numFmtId="49" fontId="2" fillId="2" borderId="38" xfId="0" applyNumberFormat="1" applyFont="1" applyFill="1" applyBorder="1" applyAlignment="1" applyProtection="1">
      <alignment horizontal="left" vertical="center"/>
      <protection hidden="1"/>
    </xf>
    <xf numFmtId="166" fontId="2" fillId="2" borderId="30" xfId="5" applyNumberFormat="1" applyFont="1" applyFill="1" applyBorder="1" applyAlignment="1" applyProtection="1">
      <alignment horizontal="center" vertical="top" wrapText="1"/>
    </xf>
    <xf numFmtId="49" fontId="23" fillId="2" borderId="39" xfId="8" applyNumberFormat="1" applyFont="1" applyFill="1" applyBorder="1" applyAlignment="1" applyProtection="1">
      <alignment horizontal="justify" vertical="top"/>
    </xf>
    <xf numFmtId="49" fontId="23" fillId="2" borderId="32" xfId="8" applyNumberFormat="1" applyFont="1" applyFill="1" applyBorder="1" applyAlignment="1" applyProtection="1">
      <alignment horizontal="left" vertical="center" wrapText="1"/>
    </xf>
    <xf numFmtId="165" fontId="2" fillId="2" borderId="30" xfId="0" applyNumberFormat="1" applyFont="1" applyFill="1" applyBorder="1" applyAlignment="1" applyProtection="1">
      <alignment horizontal="center" vertical="center"/>
      <protection hidden="1"/>
    </xf>
    <xf numFmtId="166" fontId="6" fillId="9" borderId="2" xfId="4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22" fillId="2" borderId="39" xfId="0" applyNumberFormat="1" applyFont="1" applyFill="1" applyBorder="1" applyAlignment="1" applyProtection="1">
      <alignment horizontal="left" vertical="center" wrapText="1"/>
      <protection hidden="1"/>
    </xf>
    <xf numFmtId="0" fontId="22" fillId="2" borderId="2" xfId="0" applyNumberFormat="1" applyFont="1" applyFill="1" applyBorder="1" applyAlignment="1" applyProtection="1">
      <alignment horizontal="left" vertical="top" wrapText="1"/>
      <protection hidden="1"/>
    </xf>
    <xf numFmtId="0" fontId="22" fillId="2" borderId="2" xfId="0" applyNumberFormat="1" applyFont="1" applyFill="1" applyBorder="1" applyAlignment="1" applyProtection="1">
      <alignment horizontal="left" vertical="center" wrapText="1"/>
      <protection hidden="1"/>
    </xf>
    <xf numFmtId="49" fontId="22" fillId="0" borderId="32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38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22" xfId="0" applyNumberFormat="1" applyFont="1" applyFill="1" applyBorder="1" applyAlignment="1" applyProtection="1">
      <alignment horizontal="center" vertical="center" wrapText="1"/>
      <protection hidden="1"/>
    </xf>
    <xf numFmtId="49" fontId="22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37" xfId="0" applyNumberFormat="1" applyFont="1" applyFill="1" applyBorder="1" applyAlignment="1" applyProtection="1">
      <alignment horizontal="left" vertical="center" wrapText="1"/>
      <protection hidden="1"/>
    </xf>
    <xf numFmtId="0" fontId="22" fillId="2" borderId="37" xfId="8" applyNumberFormat="1" applyFont="1" applyFill="1" applyBorder="1" applyAlignment="1" applyProtection="1">
      <alignment horizontal="left" vertical="center" wrapText="1"/>
    </xf>
    <xf numFmtId="170" fontId="22" fillId="2" borderId="24" xfId="0" applyNumberFormat="1" applyFont="1" applyFill="1" applyBorder="1" applyAlignment="1" applyProtection="1">
      <alignment horizontal="left" vertical="top" wrapText="1"/>
      <protection hidden="1"/>
    </xf>
    <xf numFmtId="166" fontId="23" fillId="2" borderId="24" xfId="0" applyNumberFormat="1" applyFont="1" applyFill="1" applyBorder="1" applyAlignment="1" applyProtection="1">
      <alignment horizontal="center" vertical="center" wrapText="1"/>
      <protection hidden="1"/>
    </xf>
    <xf numFmtId="166" fontId="22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25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23" fillId="2" borderId="32" xfId="0" applyNumberFormat="1" applyFont="1" applyFill="1" applyBorder="1" applyAlignment="1" applyProtection="1">
      <alignment horizontal="center" vertical="center" wrapText="1"/>
      <protection hidden="1"/>
    </xf>
    <xf numFmtId="165" fontId="22" fillId="2" borderId="37" xfId="0" applyNumberFormat="1" applyFont="1" applyFill="1" applyBorder="1" applyAlignment="1" applyProtection="1">
      <alignment horizontal="center" vertical="center" wrapText="1"/>
      <protection hidden="1"/>
    </xf>
    <xf numFmtId="165" fontId="21" fillId="2" borderId="29" xfId="0" applyNumberFormat="1" applyFont="1" applyFill="1" applyBorder="1" applyAlignment="1" applyProtection="1">
      <alignment horizontal="center" vertical="center" wrapText="1"/>
      <protection hidden="1"/>
    </xf>
    <xf numFmtId="165" fontId="24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23" fillId="2" borderId="32" xfId="0" applyNumberFormat="1" applyFont="1" applyFill="1" applyBorder="1" applyAlignment="1" applyProtection="1">
      <alignment horizontal="center" vertical="center" wrapText="1"/>
      <protection hidden="1"/>
    </xf>
    <xf numFmtId="165" fontId="25" fillId="2" borderId="24" xfId="0" applyNumberFormat="1" applyFont="1" applyFill="1" applyBorder="1" applyAlignment="1" applyProtection="1">
      <alignment horizontal="center" vertical="center" wrapText="1"/>
      <protection hidden="1"/>
    </xf>
    <xf numFmtId="165" fontId="23" fillId="2" borderId="2" xfId="0" applyNumberFormat="1" applyFont="1" applyFill="1" applyBorder="1" applyAlignment="1" applyProtection="1">
      <alignment horizontal="center" vertical="center"/>
      <protection hidden="1"/>
    </xf>
    <xf numFmtId="165" fontId="24" fillId="2" borderId="2" xfId="0" applyNumberFormat="1" applyFont="1" applyFill="1" applyBorder="1" applyAlignment="1" applyProtection="1">
      <alignment horizontal="center" vertical="center"/>
      <protection hidden="1"/>
    </xf>
    <xf numFmtId="165" fontId="22" fillId="2" borderId="2" xfId="0" applyNumberFormat="1" applyFont="1" applyFill="1" applyBorder="1" applyAlignment="1" applyProtection="1">
      <alignment horizontal="center" vertical="center"/>
      <protection hidden="1"/>
    </xf>
    <xf numFmtId="165" fontId="25" fillId="2" borderId="2" xfId="0" applyNumberFormat="1" applyFont="1" applyFill="1" applyBorder="1" applyAlignment="1">
      <alignment horizontal="center" vertical="center" wrapText="1"/>
    </xf>
    <xf numFmtId="165" fontId="23" fillId="2" borderId="24" xfId="0" applyNumberFormat="1" applyFont="1" applyFill="1" applyBorder="1" applyAlignment="1" applyProtection="1">
      <alignment horizontal="center" vertical="center" wrapText="1"/>
      <protection hidden="1"/>
    </xf>
    <xf numFmtId="165" fontId="22" fillId="2" borderId="2" xfId="5" applyNumberFormat="1" applyFont="1" applyFill="1" applyBorder="1" applyAlignment="1" applyProtection="1">
      <alignment horizontal="center" vertical="center"/>
    </xf>
    <xf numFmtId="165" fontId="2" fillId="2" borderId="2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right" vertical="center"/>
    </xf>
    <xf numFmtId="0" fontId="28" fillId="0" borderId="0" xfId="0" applyNumberFormat="1" applyFont="1" applyFill="1" applyBorder="1" applyAlignment="1" applyProtection="1">
      <alignment horizontal="center" vertical="top"/>
    </xf>
    <xf numFmtId="0" fontId="28" fillId="0" borderId="0" xfId="0" applyNumberFormat="1" applyFont="1" applyFill="1" applyBorder="1" applyAlignment="1" applyProtection="1">
      <alignment vertical="top"/>
    </xf>
    <xf numFmtId="0" fontId="16" fillId="0" borderId="0" xfId="3" applyNumberFormat="1" applyFill="1" applyBorder="1" applyAlignment="1" applyProtection="1">
      <alignment horizontal="center" vertical="top"/>
    </xf>
    <xf numFmtId="0" fontId="16" fillId="0" borderId="0" xfId="3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9">
    <cellStyle name="Обычный" xfId="0" builtinId="0"/>
    <cellStyle name="Обычный 2" xfId="7"/>
    <cellStyle name="Обычный 2 2" xfId="2"/>
    <cellStyle name="Обычный 2 2 2" xfId="8"/>
    <cellStyle name="Обычный 3" xfId="4"/>
    <cellStyle name="Обычный 3 2" xfId="5"/>
    <cellStyle name="Обычный 4" xfId="1"/>
    <cellStyle name="Обычный 5" xfId="3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8;&#1086;&#1077;&#1082;&#1090;%20%20201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imov/Downloads/&#1056;&#1072;&#1089;&#1093;&#1086;&#1076;&#1099;%20%20&#8470;%202-4%20&#1052;&#1050;&#1059;%20(&#1085;&#1086;&#1074;&#1086;&#1077;)%203%20&#1075;&#1086;&#1076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87;&#1088;&#1072;&#1074;&#1082;&#1080;%20&#1080;&#1102;&#1083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20086.600000000002</v>
          </cell>
          <cell r="J79">
            <v>30141.100000000002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наименование статей"/>
      <sheetName val="Прилож 2"/>
      <sheetName val="Функц.2022 (прил 3) "/>
      <sheetName val="Вед. 2022 (прил 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2">
          <cell r="N62">
            <v>20</v>
          </cell>
        </row>
        <row r="78">
          <cell r="N78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июль"/>
      <sheetName val="роспись"/>
      <sheetName val="ведомст.структ"/>
      <sheetName val="СРП(Д)"/>
      <sheetName val="прилож 4"/>
    </sheetNames>
    <sheetDataSet>
      <sheetData sheetId="0" refreshError="1"/>
      <sheetData sheetId="1" refreshError="1"/>
      <sheetData sheetId="2" refreshError="1"/>
      <sheetData sheetId="3" refreshError="1">
        <row r="10">
          <cell r="H10">
            <v>753.2</v>
          </cell>
        </row>
        <row r="22">
          <cell r="H22">
            <v>8080.0000000000009</v>
          </cell>
        </row>
        <row r="37">
          <cell r="H37">
            <v>12.7</v>
          </cell>
        </row>
        <row r="63">
          <cell r="H63">
            <v>5320</v>
          </cell>
        </row>
        <row r="68">
          <cell r="H68">
            <v>668</v>
          </cell>
        </row>
        <row r="70">
          <cell r="H70">
            <v>796</v>
          </cell>
        </row>
        <row r="75">
          <cell r="H75">
            <v>204</v>
          </cell>
        </row>
        <row r="79">
          <cell r="H79">
            <v>1077.7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workbookViewId="0">
      <selection activeCell="C17" sqref="C17"/>
    </sheetView>
  </sheetViews>
  <sheetFormatPr defaultColWidth="8.7109375" defaultRowHeight="12.75"/>
  <cols>
    <col min="1" max="1" width="17" style="137" customWidth="1"/>
    <col min="2" max="3" width="10.140625" style="137" customWidth="1"/>
    <col min="4" max="4" width="9.140625" style="138" customWidth="1"/>
    <col min="5" max="5" width="5.140625" style="139" customWidth="1"/>
    <col min="6" max="6" width="6.85546875" style="139" customWidth="1"/>
    <col min="7" max="7" width="8.5703125" style="137" customWidth="1"/>
    <col min="8" max="8" width="15.7109375" style="140" customWidth="1"/>
    <col min="9" max="9" width="13.140625" style="141" customWidth="1"/>
    <col min="10" max="10" width="13.5703125" style="141" customWidth="1"/>
    <col min="11" max="16384" width="8.7109375" style="141"/>
  </cols>
  <sheetData>
    <row r="1" spans="1:10">
      <c r="A1" s="142" t="s">
        <v>0</v>
      </c>
      <c r="F1" s="405"/>
      <c r="G1" s="406"/>
      <c r="H1" s="406"/>
    </row>
    <row r="2" spans="1:10">
      <c r="A2" s="142"/>
      <c r="F2" s="143"/>
      <c r="G2" s="144"/>
      <c r="H2" s="144"/>
    </row>
    <row r="3" spans="1:10">
      <c r="A3" s="145" t="s">
        <v>1</v>
      </c>
      <c r="B3" s="145" t="s">
        <v>2</v>
      </c>
      <c r="C3" s="145" t="s">
        <v>3</v>
      </c>
      <c r="D3" s="146" t="s">
        <v>4</v>
      </c>
      <c r="E3" s="147" t="s">
        <v>5</v>
      </c>
      <c r="F3" s="147" t="s">
        <v>6</v>
      </c>
      <c r="G3" s="145" t="s">
        <v>7</v>
      </c>
      <c r="H3" s="148" t="s">
        <v>8</v>
      </c>
    </row>
    <row r="4" spans="1:10">
      <c r="A4" s="149" t="s">
        <v>9</v>
      </c>
      <c r="B4" s="149">
        <v>1</v>
      </c>
      <c r="C4" s="149">
        <v>24</v>
      </c>
      <c r="D4" s="150">
        <v>870</v>
      </c>
      <c r="E4" s="151"/>
      <c r="F4" s="151">
        <v>0.1</v>
      </c>
      <c r="G4" s="149">
        <v>12</v>
      </c>
      <c r="H4" s="152">
        <f>B4*(2+E4+F4)*(C4*D4)*G4</f>
        <v>526176</v>
      </c>
      <c r="I4" s="218"/>
    </row>
    <row r="5" spans="1:10">
      <c r="A5" s="153" t="s">
        <v>9</v>
      </c>
      <c r="B5" s="154"/>
      <c r="C5" s="155"/>
      <c r="D5" s="156">
        <v>0.26200000000000001</v>
      </c>
      <c r="E5" s="157"/>
      <c r="F5" s="157"/>
      <c r="G5" s="153">
        <v>12</v>
      </c>
      <c r="H5" s="158">
        <f>H4*D5</f>
        <v>137858.11199999999</v>
      </c>
      <c r="I5" s="218"/>
      <c r="J5" s="219">
        <f>H4+H5</f>
        <v>664034.11199999996</v>
      </c>
    </row>
    <row r="6" spans="1:10">
      <c r="A6" s="159" t="s">
        <v>10</v>
      </c>
      <c r="B6" s="153">
        <v>1</v>
      </c>
      <c r="C6" s="155">
        <v>18</v>
      </c>
      <c r="D6" s="160">
        <v>870</v>
      </c>
      <c r="E6" s="157">
        <v>0.1</v>
      </c>
      <c r="F6" s="157">
        <v>0.1</v>
      </c>
      <c r="G6" s="153">
        <v>12</v>
      </c>
      <c r="H6" s="161">
        <f>B6*(2+E6+F6)*(C6*D6)*G6</f>
        <v>413424</v>
      </c>
      <c r="I6" s="218"/>
      <c r="J6" s="218"/>
    </row>
    <row r="7" spans="1:10">
      <c r="A7" s="159" t="s">
        <v>11</v>
      </c>
      <c r="B7" s="153">
        <v>1</v>
      </c>
      <c r="C7" s="155">
        <v>18</v>
      </c>
      <c r="D7" s="160">
        <v>870</v>
      </c>
      <c r="E7" s="157">
        <v>0.1</v>
      </c>
      <c r="F7" s="157">
        <v>0.1</v>
      </c>
      <c r="G7" s="153">
        <v>12</v>
      </c>
      <c r="H7" s="161">
        <f>B7*(2+E7+F7)*(C7*D7)*G7</f>
        <v>413424</v>
      </c>
      <c r="I7" s="218"/>
      <c r="J7" s="218"/>
    </row>
    <row r="8" spans="1:10">
      <c r="A8" s="162" t="s">
        <v>12</v>
      </c>
      <c r="B8" s="163">
        <v>1</v>
      </c>
      <c r="C8" s="164">
        <v>12</v>
      </c>
      <c r="D8" s="160">
        <v>870</v>
      </c>
      <c r="E8" s="165"/>
      <c r="F8" s="165">
        <v>0.1</v>
      </c>
      <c r="G8" s="153">
        <v>12</v>
      </c>
      <c r="H8" s="161">
        <f>B8*(2+E8+F8)*(C8*D8)*G8</f>
        <v>263088</v>
      </c>
      <c r="I8" s="218"/>
    </row>
    <row r="9" spans="1:10">
      <c r="A9" s="159" t="s">
        <v>13</v>
      </c>
      <c r="B9" s="153">
        <f>SUM(B6:B8)</f>
        <v>3</v>
      </c>
      <c r="C9" s="155"/>
      <c r="D9" s="160"/>
      <c r="E9" s="157"/>
      <c r="F9" s="157"/>
      <c r="G9" s="153"/>
      <c r="H9" s="161">
        <f>SUM(H6:H8)</f>
        <v>1089936</v>
      </c>
      <c r="I9" s="218"/>
      <c r="J9" s="218"/>
    </row>
    <row r="10" spans="1:10">
      <c r="A10" s="159" t="s">
        <v>13</v>
      </c>
      <c r="B10" s="166"/>
      <c r="C10" s="167"/>
      <c r="D10" s="168">
        <v>0.26200000000000001</v>
      </c>
      <c r="E10" s="169"/>
      <c r="F10" s="169"/>
      <c r="G10" s="170"/>
      <c r="H10" s="171">
        <f>H9*D10</f>
        <v>285563.23200000002</v>
      </c>
      <c r="I10" s="218"/>
      <c r="J10" s="219">
        <f>H9+H10</f>
        <v>1375499.2320000001</v>
      </c>
    </row>
    <row r="11" spans="1:10">
      <c r="A11" s="159"/>
      <c r="B11" s="153"/>
      <c r="C11" s="155"/>
      <c r="D11" s="160"/>
      <c r="E11" s="157"/>
      <c r="F11" s="157"/>
      <c r="G11" s="153"/>
      <c r="H11" s="161"/>
      <c r="I11" s="218"/>
      <c r="J11" s="218"/>
    </row>
    <row r="12" spans="1:10">
      <c r="A12" s="172"/>
      <c r="B12" s="166"/>
      <c r="C12" s="167"/>
      <c r="D12" s="168"/>
      <c r="E12" s="169"/>
      <c r="F12" s="169"/>
      <c r="G12" s="170"/>
      <c r="H12" s="171"/>
      <c r="I12" s="218"/>
      <c r="J12" s="219"/>
    </row>
    <row r="13" spans="1:10">
      <c r="B13" s="144"/>
      <c r="C13" s="173"/>
      <c r="E13" s="174"/>
      <c r="F13" s="174"/>
      <c r="G13" s="144"/>
      <c r="I13" s="218"/>
    </row>
    <row r="14" spans="1:10">
      <c r="A14" s="175" t="s">
        <v>1</v>
      </c>
      <c r="B14" s="175" t="s">
        <v>2</v>
      </c>
      <c r="C14" s="175" t="s">
        <v>3</v>
      </c>
      <c r="D14" s="176" t="s">
        <v>4</v>
      </c>
      <c r="E14" s="177" t="s">
        <v>5</v>
      </c>
      <c r="F14" s="177" t="s">
        <v>6</v>
      </c>
      <c r="G14" s="178" t="s">
        <v>7</v>
      </c>
      <c r="H14" s="179" t="s">
        <v>8</v>
      </c>
      <c r="I14" s="218"/>
    </row>
    <row r="15" spans="1:10">
      <c r="A15" s="180" t="s">
        <v>14</v>
      </c>
      <c r="B15" s="149">
        <v>1</v>
      </c>
      <c r="C15" s="149">
        <v>24</v>
      </c>
      <c r="D15" s="150">
        <v>870</v>
      </c>
      <c r="E15" s="151">
        <v>0.2</v>
      </c>
      <c r="F15" s="151">
        <v>0.25</v>
      </c>
      <c r="G15" s="149">
        <v>12</v>
      </c>
      <c r="H15" s="152">
        <f>(B15*2+E15+F15)*(C15*D15)*G15</f>
        <v>613872</v>
      </c>
      <c r="I15" s="218"/>
    </row>
    <row r="16" spans="1:10" ht="15">
      <c r="A16" s="166" t="s">
        <v>14</v>
      </c>
      <c r="B16" s="166"/>
      <c r="C16" s="167"/>
      <c r="D16" s="168">
        <v>0.26200000000000001</v>
      </c>
      <c r="E16" s="169"/>
      <c r="F16" s="169"/>
      <c r="G16" s="170">
        <v>12</v>
      </c>
      <c r="H16" s="181">
        <f>H15*D16</f>
        <v>160834.46400000001</v>
      </c>
      <c r="I16" s="218"/>
      <c r="J16" s="219">
        <f>H16+H15</f>
        <v>774706.46400000004</v>
      </c>
    </row>
    <row r="17" spans="1:10" ht="15">
      <c r="A17" s="143"/>
      <c r="B17" s="182"/>
      <c r="C17" s="183"/>
      <c r="D17" s="184"/>
      <c r="E17" s="185"/>
      <c r="F17" s="185"/>
      <c r="G17" s="186"/>
      <c r="H17" s="187"/>
      <c r="I17" s="218"/>
      <c r="J17" s="219"/>
    </row>
    <row r="18" spans="1:10">
      <c r="A18" s="142" t="s">
        <v>15</v>
      </c>
      <c r="B18" s="149">
        <v>1</v>
      </c>
      <c r="C18" s="188">
        <v>20</v>
      </c>
      <c r="D18" s="150">
        <v>870</v>
      </c>
      <c r="E18" s="151">
        <v>0.2</v>
      </c>
      <c r="F18" s="151">
        <v>0.15</v>
      </c>
      <c r="G18" s="149">
        <v>12</v>
      </c>
      <c r="H18" s="152">
        <f t="shared" ref="H18:H24" si="0">B18*(2+E18+F18)*(C18*D18)*G18</f>
        <v>490680</v>
      </c>
      <c r="I18" s="218"/>
    </row>
    <row r="19" spans="1:10">
      <c r="A19" s="159" t="s">
        <v>16</v>
      </c>
      <c r="B19" s="163">
        <v>1</v>
      </c>
      <c r="C19" s="164">
        <v>20</v>
      </c>
      <c r="D19" s="189">
        <v>870</v>
      </c>
      <c r="E19" s="165">
        <v>0.2</v>
      </c>
      <c r="F19" s="165">
        <v>0.1</v>
      </c>
      <c r="G19" s="153">
        <v>12</v>
      </c>
      <c r="H19" s="161">
        <f t="shared" si="0"/>
        <v>480240</v>
      </c>
      <c r="I19" s="218"/>
    </row>
    <row r="20" spans="1:10">
      <c r="A20" s="162" t="s">
        <v>17</v>
      </c>
      <c r="B20" s="163">
        <v>1</v>
      </c>
      <c r="C20" s="164">
        <v>18</v>
      </c>
      <c r="D20" s="189">
        <v>870</v>
      </c>
      <c r="E20" s="165">
        <v>0.2</v>
      </c>
      <c r="F20" s="165">
        <v>0.1</v>
      </c>
      <c r="G20" s="153">
        <v>12</v>
      </c>
      <c r="H20" s="161">
        <f t="shared" si="0"/>
        <v>432216</v>
      </c>
      <c r="I20" s="218"/>
      <c r="J20" s="218"/>
    </row>
    <row r="21" spans="1:10">
      <c r="A21" s="162" t="s">
        <v>17</v>
      </c>
      <c r="B21" s="163">
        <v>1</v>
      </c>
      <c r="C21" s="164">
        <v>18</v>
      </c>
      <c r="D21" s="189">
        <v>870</v>
      </c>
      <c r="E21" s="165">
        <v>0.2</v>
      </c>
      <c r="F21" s="165">
        <v>0.15</v>
      </c>
      <c r="G21" s="153">
        <v>12</v>
      </c>
      <c r="H21" s="161">
        <f t="shared" si="0"/>
        <v>441612</v>
      </c>
      <c r="I21" s="218"/>
      <c r="J21" s="218"/>
    </row>
    <row r="22" spans="1:10">
      <c r="A22" s="162" t="s">
        <v>18</v>
      </c>
      <c r="B22" s="163">
        <v>1</v>
      </c>
      <c r="C22" s="164">
        <v>16</v>
      </c>
      <c r="D22" s="160">
        <v>870</v>
      </c>
      <c r="E22" s="165">
        <f>(10*0.5)%</f>
        <v>0.05</v>
      </c>
      <c r="F22" s="165">
        <v>0.15</v>
      </c>
      <c r="G22" s="153">
        <v>12</v>
      </c>
      <c r="H22" s="161">
        <f t="shared" si="0"/>
        <v>367488</v>
      </c>
      <c r="I22" s="218"/>
    </row>
    <row r="23" spans="1:10">
      <c r="A23" s="162" t="s">
        <v>18</v>
      </c>
      <c r="B23" s="163">
        <v>1</v>
      </c>
      <c r="C23" s="164">
        <v>16</v>
      </c>
      <c r="D23" s="160">
        <v>870</v>
      </c>
      <c r="E23" s="165">
        <v>0.2</v>
      </c>
      <c r="F23" s="165">
        <v>0.25</v>
      </c>
      <c r="G23" s="153">
        <v>12</v>
      </c>
      <c r="H23" s="161">
        <f t="shared" si="0"/>
        <v>409248</v>
      </c>
      <c r="I23" s="218"/>
    </row>
    <row r="24" spans="1:10">
      <c r="A24" s="162" t="s">
        <v>19</v>
      </c>
      <c r="B24" s="163">
        <v>1</v>
      </c>
      <c r="C24" s="164">
        <v>14</v>
      </c>
      <c r="D24" s="160">
        <v>870</v>
      </c>
      <c r="E24" s="165"/>
      <c r="F24" s="165">
        <v>0.1</v>
      </c>
      <c r="G24" s="153">
        <v>12</v>
      </c>
      <c r="H24" s="161">
        <f t="shared" si="0"/>
        <v>306936</v>
      </c>
      <c r="I24" s="218"/>
    </row>
    <row r="25" spans="1:10">
      <c r="A25" s="162" t="s">
        <v>20</v>
      </c>
      <c r="B25" s="163">
        <v>2</v>
      </c>
      <c r="C25" s="164"/>
      <c r="D25" s="160">
        <f>20760+9100</f>
        <v>29860</v>
      </c>
      <c r="E25" s="165"/>
      <c r="F25" s="165"/>
      <c r="G25" s="153">
        <v>12</v>
      </c>
      <c r="H25" s="161">
        <f>D25*G25</f>
        <v>358320</v>
      </c>
      <c r="I25" s="218"/>
    </row>
    <row r="26" spans="1:10">
      <c r="A26" s="162"/>
      <c r="B26" s="163"/>
      <c r="C26" s="164"/>
      <c r="D26" s="189"/>
      <c r="E26" s="165"/>
      <c r="F26" s="165"/>
      <c r="G26" s="163"/>
      <c r="H26" s="190">
        <f>SUM(H18:H25)</f>
        <v>3286740</v>
      </c>
      <c r="I26" s="218"/>
    </row>
    <row r="27" spans="1:10">
      <c r="A27" s="191" t="s">
        <v>21</v>
      </c>
      <c r="B27" s="166"/>
      <c r="C27" s="167"/>
      <c r="D27" s="168">
        <v>0.26200000000000001</v>
      </c>
      <c r="E27" s="169"/>
      <c r="F27" s="169"/>
      <c r="G27" s="170">
        <v>12</v>
      </c>
      <c r="H27" s="192">
        <f>H26*D27</f>
        <v>861125.88</v>
      </c>
      <c r="I27" s="218"/>
      <c r="J27" s="219">
        <f>H27+H26</f>
        <v>4147865.88</v>
      </c>
    </row>
    <row r="28" spans="1:10">
      <c r="A28" s="193"/>
      <c r="B28" s="186"/>
      <c r="C28" s="183"/>
      <c r="D28" s="194"/>
      <c r="E28" s="185"/>
      <c r="F28" s="185"/>
      <c r="G28" s="186"/>
      <c r="H28" s="195"/>
      <c r="I28" s="218"/>
    </row>
    <row r="29" spans="1:10">
      <c r="A29" s="162" t="s">
        <v>22</v>
      </c>
      <c r="B29" s="163"/>
      <c r="C29" s="164"/>
      <c r="D29" s="189"/>
      <c r="E29" s="165"/>
      <c r="F29" s="165"/>
      <c r="G29" s="163"/>
      <c r="H29" s="161">
        <f>H30+H31</f>
        <v>396575.92800000001</v>
      </c>
      <c r="I29" s="218"/>
    </row>
    <row r="30" spans="1:10">
      <c r="A30" s="162" t="s">
        <v>19</v>
      </c>
      <c r="B30" s="163">
        <v>1</v>
      </c>
      <c r="C30" s="164">
        <v>14</v>
      </c>
      <c r="D30" s="189">
        <v>870</v>
      </c>
      <c r="E30" s="165"/>
      <c r="F30" s="165">
        <v>0.15</v>
      </c>
      <c r="G30" s="163">
        <f>12</f>
        <v>12</v>
      </c>
      <c r="H30" s="161">
        <f>B30*(2+E30+F30)*(C30*D30)*G30</f>
        <v>314244</v>
      </c>
      <c r="I30" s="218"/>
      <c r="J30" s="218"/>
    </row>
    <row r="31" spans="1:10">
      <c r="A31" s="191"/>
      <c r="B31" s="170"/>
      <c r="C31" s="167"/>
      <c r="D31" s="196">
        <v>0.26200000000000001</v>
      </c>
      <c r="E31" s="169"/>
      <c r="F31" s="169"/>
      <c r="G31" s="170">
        <v>12</v>
      </c>
      <c r="H31" s="192">
        <f>H30*D31</f>
        <v>82331.928</v>
      </c>
      <c r="I31" s="218"/>
      <c r="J31" s="219">
        <f>H30+H31</f>
        <v>396575.92800000001</v>
      </c>
    </row>
    <row r="32" spans="1:10">
      <c r="A32" s="197" t="s">
        <v>23</v>
      </c>
      <c r="B32" s="198"/>
      <c r="C32" s="199"/>
      <c r="D32" s="200"/>
      <c r="E32" s="201"/>
      <c r="F32" s="201"/>
      <c r="G32" s="198"/>
      <c r="H32" s="202">
        <f>H15+H26+H29</f>
        <v>4297187.9280000003</v>
      </c>
      <c r="I32" s="218"/>
      <c r="J32" s="219"/>
    </row>
    <row r="33" spans="1:10">
      <c r="A33" s="203" t="s">
        <v>24</v>
      </c>
      <c r="B33" s="204"/>
      <c r="C33" s="205"/>
      <c r="D33" s="206"/>
      <c r="E33" s="207"/>
      <c r="F33" s="207"/>
      <c r="G33" s="204"/>
      <c r="H33" s="208">
        <f>H16+H27+H31</f>
        <v>1104292.2720000001</v>
      </c>
      <c r="I33" s="218"/>
      <c r="J33" s="219">
        <f>H32+H33</f>
        <v>5401480.2000000002</v>
      </c>
    </row>
    <row r="34" spans="1:10">
      <c r="A34" s="137">
        <v>221</v>
      </c>
      <c r="C34" s="144"/>
      <c r="E34" s="174"/>
      <c r="F34" s="174"/>
      <c r="G34" s="144"/>
    </row>
    <row r="35" spans="1:10">
      <c r="A35" s="209" t="s">
        <v>25</v>
      </c>
      <c r="B35" s="210">
        <v>3000</v>
      </c>
      <c r="C35" s="153"/>
      <c r="D35" s="160"/>
      <c r="E35" s="157"/>
      <c r="F35" s="157"/>
      <c r="G35" s="153">
        <v>12</v>
      </c>
      <c r="H35" s="211">
        <f>B35*G35</f>
        <v>36000</v>
      </c>
    </row>
    <row r="36" spans="1:10">
      <c r="A36" s="209" t="s">
        <v>26</v>
      </c>
      <c r="B36" s="210">
        <v>6850</v>
      </c>
      <c r="C36" s="159"/>
      <c r="D36" s="160"/>
      <c r="E36" s="212"/>
      <c r="F36" s="212"/>
      <c r="G36" s="153">
        <v>12</v>
      </c>
      <c r="H36" s="211">
        <f>B36*G36</f>
        <v>82200</v>
      </c>
    </row>
    <row r="37" spans="1:10">
      <c r="A37" s="209" t="s">
        <v>27</v>
      </c>
      <c r="B37" s="210">
        <v>500</v>
      </c>
      <c r="C37" s="159"/>
      <c r="D37" s="160"/>
      <c r="E37" s="212"/>
      <c r="F37" s="212"/>
      <c r="G37" s="153">
        <v>12</v>
      </c>
      <c r="H37" s="211">
        <f>B37*G37</f>
        <v>6000</v>
      </c>
    </row>
    <row r="38" spans="1:10">
      <c r="A38" s="159"/>
      <c r="B38" s="210"/>
      <c r="C38" s="159"/>
      <c r="D38" s="160"/>
      <c r="E38" s="212"/>
      <c r="F38" s="212"/>
      <c r="G38" s="159"/>
      <c r="H38" s="208">
        <f>SUM(H35:H37)</f>
        <v>124200</v>
      </c>
      <c r="J38" s="218">
        <f>H39</f>
        <v>0</v>
      </c>
    </row>
    <row r="39" spans="1:10">
      <c r="A39" s="137">
        <v>222</v>
      </c>
      <c r="B39" s="213"/>
      <c r="H39" s="211"/>
    </row>
    <row r="40" spans="1:10">
      <c r="A40" s="209" t="s">
        <v>28</v>
      </c>
      <c r="B40" s="210">
        <v>6000</v>
      </c>
      <c r="C40" s="159"/>
      <c r="D40" s="160"/>
      <c r="E40" s="212"/>
      <c r="F40" s="212"/>
      <c r="G40" s="153">
        <v>12</v>
      </c>
      <c r="H40" s="211">
        <f>H41+H42</f>
        <v>72000</v>
      </c>
    </row>
    <row r="41" spans="1:10">
      <c r="A41" s="142" t="s">
        <v>29</v>
      </c>
      <c r="B41" s="213"/>
      <c r="G41" s="144">
        <v>1</v>
      </c>
      <c r="H41" s="140">
        <f>B41*G41</f>
        <v>0</v>
      </c>
    </row>
    <row r="42" spans="1:10">
      <c r="A42" s="209" t="s">
        <v>30</v>
      </c>
      <c r="B42" s="210">
        <v>6000</v>
      </c>
      <c r="C42" s="159"/>
      <c r="D42" s="160"/>
      <c r="E42" s="212"/>
      <c r="F42" s="212"/>
      <c r="G42" s="153">
        <v>12</v>
      </c>
      <c r="H42" s="211">
        <f>B42*G42</f>
        <v>72000</v>
      </c>
    </row>
    <row r="43" spans="1:10" ht="12" customHeight="1">
      <c r="A43" s="137">
        <v>223</v>
      </c>
      <c r="B43" s="213"/>
      <c r="H43" s="211"/>
    </row>
    <row r="44" spans="1:10">
      <c r="A44" s="209" t="s">
        <v>31</v>
      </c>
      <c r="B44" s="210"/>
      <c r="C44" s="159"/>
      <c r="D44" s="214">
        <v>4715</v>
      </c>
      <c r="E44" s="212"/>
      <c r="F44" s="215"/>
      <c r="G44" s="153">
        <v>12</v>
      </c>
      <c r="H44" s="140">
        <f>D44*G44</f>
        <v>56580</v>
      </c>
    </row>
    <row r="45" spans="1:10">
      <c r="A45" s="209" t="s">
        <v>32</v>
      </c>
      <c r="B45" s="210"/>
      <c r="C45" s="159"/>
      <c r="D45" s="214">
        <v>5950</v>
      </c>
      <c r="E45" s="212"/>
      <c r="F45" s="215"/>
      <c r="G45" s="153">
        <v>12</v>
      </c>
      <c r="H45" s="211">
        <f>D45*G45</f>
        <v>71400</v>
      </c>
      <c r="I45" s="218"/>
    </row>
    <row r="46" spans="1:10">
      <c r="B46" s="213"/>
      <c r="H46" s="211">
        <f>SUM(H44:H45)</f>
        <v>127980</v>
      </c>
      <c r="J46" s="218">
        <f>H47</f>
        <v>0</v>
      </c>
    </row>
    <row r="47" spans="1:10">
      <c r="A47" s="137">
        <v>225</v>
      </c>
      <c r="B47" s="213"/>
      <c r="H47" s="216"/>
    </row>
    <row r="48" spans="1:10">
      <c r="A48" s="209" t="s">
        <v>33</v>
      </c>
      <c r="B48" s="210">
        <f>40000</f>
        <v>40000</v>
      </c>
      <c r="C48" s="159"/>
      <c r="D48" s="160"/>
      <c r="E48" s="212"/>
      <c r="F48" s="212"/>
      <c r="G48" s="153">
        <v>1</v>
      </c>
      <c r="H48" s="140">
        <f>B48</f>
        <v>40000</v>
      </c>
    </row>
    <row r="49" spans="1:10">
      <c r="A49" s="209" t="s">
        <v>34</v>
      </c>
      <c r="B49" s="210">
        <f>5000*1.1</f>
        <v>5500</v>
      </c>
      <c r="C49" s="159"/>
      <c r="D49" s="160"/>
      <c r="E49" s="212"/>
      <c r="F49" s="212"/>
      <c r="G49" s="153">
        <v>12</v>
      </c>
      <c r="H49" s="211">
        <f>B49*G49</f>
        <v>66000</v>
      </c>
    </row>
    <row r="50" spans="1:10">
      <c r="A50" s="142"/>
      <c r="B50" s="213"/>
      <c r="G50" s="144"/>
      <c r="H50" s="211">
        <f>SUM(H48:H49)</f>
        <v>106000</v>
      </c>
      <c r="J50" s="218">
        <f>H51</f>
        <v>0</v>
      </c>
    </row>
    <row r="51" spans="1:10">
      <c r="A51" s="137">
        <v>226</v>
      </c>
      <c r="B51" s="213"/>
    </row>
    <row r="52" spans="1:10">
      <c r="A52" s="209" t="s">
        <v>35</v>
      </c>
      <c r="B52" s="210">
        <f>10000</f>
        <v>10000</v>
      </c>
      <c r="C52" s="159"/>
      <c r="D52" s="160"/>
      <c r="E52" s="212"/>
      <c r="F52" s="212"/>
      <c r="G52" s="153">
        <v>12</v>
      </c>
      <c r="H52" s="211">
        <f>B52*G52</f>
        <v>120000</v>
      </c>
    </row>
    <row r="53" spans="1:10">
      <c r="A53" s="209" t="s">
        <v>35</v>
      </c>
      <c r="B53" s="210">
        <v>0</v>
      </c>
      <c r="C53" s="159"/>
      <c r="D53" s="160"/>
      <c r="E53" s="212"/>
      <c r="F53" s="212"/>
      <c r="G53" s="153">
        <v>7</v>
      </c>
      <c r="H53" s="211">
        <f t="shared" ref="H53:H58" si="1">B53*G53</f>
        <v>0</v>
      </c>
    </row>
    <row r="54" spans="1:10">
      <c r="A54" s="209" t="s">
        <v>36</v>
      </c>
      <c r="B54" s="210">
        <v>2310</v>
      </c>
      <c r="C54" s="159"/>
      <c r="D54" s="160"/>
      <c r="E54" s="212"/>
      <c r="F54" s="212"/>
      <c r="G54" s="153">
        <v>12</v>
      </c>
      <c r="H54" s="211">
        <f t="shared" si="1"/>
        <v>27720</v>
      </c>
    </row>
    <row r="55" spans="1:10">
      <c r="A55" s="209" t="s">
        <v>37</v>
      </c>
      <c r="B55" s="210">
        <v>10230</v>
      </c>
      <c r="C55" s="159"/>
      <c r="D55" s="160"/>
      <c r="E55" s="212"/>
      <c r="F55" s="212"/>
      <c r="G55" s="153">
        <v>12</v>
      </c>
      <c r="H55" s="211">
        <f>B55*G55+4400+25000-100</f>
        <v>152060</v>
      </c>
    </row>
    <row r="56" spans="1:10">
      <c r="A56" s="209" t="s">
        <v>38</v>
      </c>
      <c r="B56" s="210">
        <v>5500</v>
      </c>
      <c r="C56" s="159"/>
      <c r="D56" s="160"/>
      <c r="E56" s="212"/>
      <c r="F56" s="212"/>
      <c r="G56" s="153">
        <v>12</v>
      </c>
      <c r="H56" s="211">
        <f t="shared" si="1"/>
        <v>66000</v>
      </c>
    </row>
    <row r="57" spans="1:10">
      <c r="A57" s="209" t="s">
        <v>39</v>
      </c>
      <c r="B57" s="210">
        <v>4400</v>
      </c>
      <c r="C57" s="159"/>
      <c r="D57" s="160"/>
      <c r="E57" s="212"/>
      <c r="F57" s="212"/>
      <c r="G57" s="153">
        <v>1</v>
      </c>
      <c r="H57" s="211">
        <f t="shared" si="1"/>
        <v>4400</v>
      </c>
    </row>
    <row r="58" spans="1:10">
      <c r="A58" s="159" t="s">
        <v>40</v>
      </c>
      <c r="B58" s="210">
        <f>200000</f>
        <v>200000</v>
      </c>
      <c r="C58" s="159"/>
      <c r="D58" s="160"/>
      <c r="E58" s="212"/>
      <c r="F58" s="212"/>
      <c r="G58" s="153">
        <v>1</v>
      </c>
      <c r="H58" s="211">
        <f t="shared" si="1"/>
        <v>200000</v>
      </c>
    </row>
    <row r="59" spans="1:10">
      <c r="B59" s="213"/>
      <c r="H59" s="216">
        <f>SUM(H52:H58)</f>
        <v>570180</v>
      </c>
      <c r="J59" s="218">
        <f>H60</f>
        <v>0</v>
      </c>
    </row>
    <row r="60" spans="1:10">
      <c r="A60" s="137">
        <v>290</v>
      </c>
      <c r="B60" s="213"/>
      <c r="H60" s="216"/>
    </row>
    <row r="61" spans="1:10">
      <c r="A61" s="209" t="s">
        <v>41</v>
      </c>
      <c r="B61" s="210">
        <v>20000</v>
      </c>
      <c r="C61" s="159"/>
      <c r="D61" s="160"/>
      <c r="E61" s="212"/>
      <c r="F61" s="212"/>
      <c r="G61" s="153">
        <v>1</v>
      </c>
      <c r="H61" s="140">
        <f>B61*G61</f>
        <v>20000</v>
      </c>
      <c r="J61" s="218">
        <f>H62</f>
        <v>0</v>
      </c>
    </row>
    <row r="62" spans="1:10">
      <c r="A62" s="137">
        <v>310</v>
      </c>
      <c r="B62" s="213"/>
      <c r="H62" s="211"/>
      <c r="I62" s="141">
        <v>200</v>
      </c>
      <c r="J62" s="219">
        <f>SUM(J38:J61)</f>
        <v>0</v>
      </c>
    </row>
    <row r="63" spans="1:10">
      <c r="A63" s="209" t="s">
        <v>42</v>
      </c>
      <c r="B63" s="217">
        <v>190000</v>
      </c>
      <c r="C63" s="159"/>
      <c r="D63" s="160"/>
      <c r="E63" s="212"/>
      <c r="F63" s="212"/>
      <c r="G63" s="153">
        <v>1</v>
      </c>
      <c r="H63" s="140">
        <f>B63*G63</f>
        <v>190000</v>
      </c>
      <c r="J63" s="218">
        <f>H64</f>
        <v>0</v>
      </c>
    </row>
    <row r="64" spans="1:10">
      <c r="A64" s="137">
        <v>340</v>
      </c>
      <c r="B64" s="213"/>
      <c r="H64" s="211"/>
    </row>
    <row r="65" spans="1:10">
      <c r="A65" s="209" t="s">
        <v>43</v>
      </c>
      <c r="B65" s="210">
        <v>210800</v>
      </c>
      <c r="C65" s="159"/>
      <c r="D65" s="160"/>
      <c r="E65" s="212"/>
      <c r="F65" s="212"/>
      <c r="G65" s="153">
        <v>1</v>
      </c>
      <c r="H65" s="140">
        <f>B65*G65</f>
        <v>210800</v>
      </c>
      <c r="J65" s="218">
        <f>H66</f>
        <v>0</v>
      </c>
    </row>
    <row r="66" spans="1:10">
      <c r="B66" s="220"/>
      <c r="H66" s="211"/>
      <c r="I66" s="141">
        <v>300</v>
      </c>
      <c r="J66" s="219">
        <f>SUM(J63:J65)</f>
        <v>0</v>
      </c>
    </row>
    <row r="67" spans="1:10">
      <c r="B67" s="220"/>
    </row>
    <row r="68" spans="1:10">
      <c r="B68" s="220"/>
      <c r="I68" s="141" t="s">
        <v>28</v>
      </c>
      <c r="J68" s="218">
        <f>J7+J10+J16+J31+J62+J66</f>
        <v>2546781.6239999998</v>
      </c>
    </row>
    <row r="70" spans="1:10">
      <c r="J70" s="218">
        <f>J68/1000</f>
        <v>2546.7816240000002</v>
      </c>
    </row>
    <row r="72" spans="1:10">
      <c r="J72" s="218">
        <f>6461.3-J70</f>
        <v>3914.518376</v>
      </c>
    </row>
  </sheetData>
  <mergeCells count="1">
    <mergeCell ref="F1:H1"/>
  </mergeCells>
  <pageMargins left="0.74803149606299202" right="0.74803149606299202" top="0.196850393700787" bottom="0.39370078740157499" header="0.511811023622047" footer="0.511811023622047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pane="topRight"/>
      <selection pane="bottomLeft"/>
      <selection pane="bottomRight" activeCell="J56" sqref="J56"/>
    </sheetView>
  </sheetViews>
  <sheetFormatPr defaultColWidth="9.140625" defaultRowHeight="12.75"/>
  <cols>
    <col min="1" max="1" width="9.140625" style="8" customWidth="1"/>
    <col min="2" max="2" width="38.5703125" style="8" customWidth="1"/>
    <col min="3" max="3" width="51.42578125" customWidth="1"/>
    <col min="4" max="4" width="11.7109375" style="2" hidden="1" customWidth="1"/>
    <col min="5" max="5" width="10.85546875" hidden="1" customWidth="1"/>
    <col min="6" max="6" width="13.42578125" hidden="1" customWidth="1"/>
    <col min="7" max="7" width="15.85546875" hidden="1" customWidth="1"/>
    <col min="8" max="8" width="14" hidden="1" customWidth="1"/>
    <col min="9" max="9" width="16.5703125" hidden="1" customWidth="1"/>
    <col min="10" max="10" width="15.42578125" customWidth="1"/>
    <col min="11" max="11" width="12.7109375" hidden="1" customWidth="1"/>
    <col min="12" max="12" width="12" hidden="1" customWidth="1"/>
    <col min="13" max="13" width="10.140625" hidden="1" customWidth="1"/>
    <col min="14" max="16" width="9.140625" hidden="1" customWidth="1"/>
    <col min="18" max="18" width="10.140625" customWidth="1"/>
    <col min="19" max="19" width="9.140625" style="9"/>
  </cols>
  <sheetData>
    <row r="1" spans="1:19" ht="21" customHeight="1">
      <c r="A1" s="10" t="s">
        <v>44</v>
      </c>
      <c r="B1" s="1"/>
      <c r="C1" s="407" t="s">
        <v>45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9" ht="21" customHeight="1">
      <c r="A2" s="3"/>
      <c r="B2" s="11"/>
      <c r="C2" s="11"/>
      <c r="D2" s="11"/>
      <c r="E2" s="11"/>
      <c r="F2" s="11"/>
      <c r="G2" s="11"/>
      <c r="H2" s="11"/>
      <c r="I2" s="11"/>
      <c r="J2" s="61" t="s">
        <v>46</v>
      </c>
      <c r="K2" s="11"/>
      <c r="L2" s="11"/>
      <c r="M2" s="11"/>
      <c r="N2" s="11"/>
      <c r="O2" s="11"/>
      <c r="P2" s="11"/>
    </row>
    <row r="3" spans="1:19" ht="21" customHeight="1">
      <c r="A3" s="3"/>
      <c r="B3" s="11"/>
      <c r="C3" s="11"/>
      <c r="D3" s="11"/>
      <c r="E3" s="11"/>
      <c r="F3" s="11"/>
      <c r="G3" s="11"/>
      <c r="H3" s="11"/>
      <c r="I3" s="11"/>
      <c r="J3" s="61" t="s">
        <v>47</v>
      </c>
      <c r="K3" s="11"/>
      <c r="L3" s="11"/>
      <c r="M3" s="11"/>
      <c r="N3" s="11"/>
      <c r="O3" s="11"/>
      <c r="P3" s="11"/>
    </row>
    <row r="4" spans="1:19" ht="22.5" customHeight="1">
      <c r="A4" s="3"/>
      <c r="B4" s="3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</row>
    <row r="5" spans="1:19" ht="22.5" customHeight="1">
      <c r="A5" s="409" t="s">
        <v>48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</row>
    <row r="6" spans="1:19" ht="27.6" customHeight="1">
      <c r="A6" s="409" t="s">
        <v>49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</row>
    <row r="7" spans="1:19" ht="27.6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410" t="s">
        <v>50</v>
      </c>
      <c r="P7" s="410"/>
    </row>
    <row r="8" spans="1:19" s="4" customFormat="1" ht="61.5" customHeight="1">
      <c r="A8" s="13" t="s">
        <v>51</v>
      </c>
      <c r="B8" s="13" t="s">
        <v>52</v>
      </c>
      <c r="C8" s="14" t="s">
        <v>53</v>
      </c>
      <c r="D8" s="15" t="s">
        <v>54</v>
      </c>
      <c r="E8" s="15" t="s">
        <v>55</v>
      </c>
      <c r="F8" s="15" t="s">
        <v>56</v>
      </c>
      <c r="G8" s="15" t="s">
        <v>57</v>
      </c>
      <c r="H8" s="15" t="s">
        <v>58</v>
      </c>
      <c r="I8" s="15" t="s">
        <v>59</v>
      </c>
      <c r="J8" s="15" t="s">
        <v>60</v>
      </c>
      <c r="K8" s="62" t="s">
        <v>61</v>
      </c>
      <c r="L8" s="63" t="s">
        <v>62</v>
      </c>
      <c r="M8" s="64" t="s">
        <v>63</v>
      </c>
      <c r="N8" s="64" t="s">
        <v>64</v>
      </c>
      <c r="O8" s="64" t="s">
        <v>65</v>
      </c>
      <c r="P8" s="64" t="s">
        <v>66</v>
      </c>
      <c r="S8" s="115"/>
    </row>
    <row r="9" spans="1:19" s="5" customFormat="1" ht="15.75">
      <c r="A9" s="16" t="s">
        <v>67</v>
      </c>
      <c r="B9" s="17" t="s">
        <v>68</v>
      </c>
      <c r="C9" s="18" t="s">
        <v>69</v>
      </c>
      <c r="D9" s="19" t="e">
        <f>D10+D21+D24+D31+D35</f>
        <v>#REF!</v>
      </c>
      <c r="E9" s="19" t="e">
        <f>E10+E21+E24+E31+E35</f>
        <v>#REF!</v>
      </c>
      <c r="F9" s="19" t="e">
        <f>F10+F21+F24+F31+F35</f>
        <v>#REF!</v>
      </c>
      <c r="G9" s="19">
        <f t="shared" ref="G9:P9" si="0">G10+G21+G24+G35+G43</f>
        <v>29725.4</v>
      </c>
      <c r="H9" s="19">
        <f t="shared" si="0"/>
        <v>17464.400000000001</v>
      </c>
      <c r="I9" s="19">
        <f t="shared" si="0"/>
        <v>29091.9</v>
      </c>
      <c r="J9" s="65">
        <f>J10+J21+J24+J35+J43+J39</f>
        <v>26445.599999999999</v>
      </c>
      <c r="K9" s="66">
        <f t="shared" si="0"/>
        <v>27354.59</v>
      </c>
      <c r="L9" s="67">
        <f t="shared" si="0"/>
        <v>28859.09245</v>
      </c>
      <c r="M9" s="68">
        <f t="shared" si="0"/>
        <v>8499.1666666666697</v>
      </c>
      <c r="N9" s="68">
        <f t="shared" si="0"/>
        <v>8499.1666666666697</v>
      </c>
      <c r="O9" s="68">
        <f t="shared" si="0"/>
        <v>8499.1666666666697</v>
      </c>
      <c r="P9" s="68">
        <f t="shared" si="0"/>
        <v>133.5</v>
      </c>
      <c r="S9" s="116"/>
    </row>
    <row r="10" spans="1:19" s="6" customFormat="1" ht="15.75">
      <c r="A10" s="20" t="s">
        <v>70</v>
      </c>
      <c r="B10" s="21" t="s">
        <v>71</v>
      </c>
      <c r="C10" s="22" t="s">
        <v>72</v>
      </c>
      <c r="D10" s="23">
        <f t="shared" ref="D10:P10" si="1">D11+D18</f>
        <v>9631.4</v>
      </c>
      <c r="E10" s="23">
        <f t="shared" si="1"/>
        <v>6727.71</v>
      </c>
      <c r="F10" s="23">
        <f t="shared" si="1"/>
        <v>10213.75</v>
      </c>
      <c r="G10" s="23">
        <f t="shared" si="1"/>
        <v>18820</v>
      </c>
      <c r="H10" s="23">
        <f t="shared" si="1"/>
        <v>10036.200000000001</v>
      </c>
      <c r="I10" s="23">
        <f t="shared" si="1"/>
        <v>17432.900000000001</v>
      </c>
      <c r="J10" s="69">
        <f>J11+J18+J20</f>
        <v>15644</v>
      </c>
      <c r="K10" s="70">
        <f t="shared" si="1"/>
        <v>16771.416000000001</v>
      </c>
      <c r="L10" s="71">
        <f t="shared" si="1"/>
        <v>17693.84388</v>
      </c>
      <c r="M10" s="72">
        <f t="shared" si="1"/>
        <v>5188.5</v>
      </c>
      <c r="N10" s="72">
        <f t="shared" si="1"/>
        <v>5188.5</v>
      </c>
      <c r="O10" s="72">
        <f t="shared" si="1"/>
        <v>5188.5</v>
      </c>
      <c r="P10" s="72">
        <f t="shared" si="1"/>
        <v>62.5</v>
      </c>
      <c r="S10" s="117"/>
    </row>
    <row r="11" spans="1:19" s="2" customFormat="1" ht="39.950000000000003" customHeight="1">
      <c r="A11" s="24" t="s">
        <v>73</v>
      </c>
      <c r="B11" s="25" t="s">
        <v>74</v>
      </c>
      <c r="C11" s="26" t="s">
        <v>75</v>
      </c>
      <c r="D11" s="27">
        <f>D12+D15+D13+D16</f>
        <v>9391.4</v>
      </c>
      <c r="E11" s="27">
        <f>E12+E15+E13+E16</f>
        <v>6546.21</v>
      </c>
      <c r="F11" s="27">
        <f>F12+F15+F13+F16</f>
        <v>9941.5</v>
      </c>
      <c r="G11" s="27">
        <f>G12+G15+G13+G16+G17</f>
        <v>18620</v>
      </c>
      <c r="H11" s="27">
        <f>H12+H15+H13+H16+H17</f>
        <v>9813</v>
      </c>
      <c r="I11" s="27">
        <f>I12+I15+I13+I16+I17+I18</f>
        <v>17098.099999999999</v>
      </c>
      <c r="J11" s="47">
        <f>J12+J15+J13+J16+J17</f>
        <v>15404</v>
      </c>
      <c r="K11" s="73">
        <f>K12+K15+K13+K16+K17+K18</f>
        <v>16534.423999999999</v>
      </c>
      <c r="L11" s="74">
        <f>L12+L15+L13+L16+L17+L18</f>
        <v>17443.817319999998</v>
      </c>
      <c r="M11" s="75">
        <f>M12+M15+M13+M16+M17</f>
        <v>5113.8333333333303</v>
      </c>
      <c r="N11" s="75">
        <f>N12+N15+N13+N16+N17</f>
        <v>5113.8333333333303</v>
      </c>
      <c r="O11" s="75">
        <f>O12+O15+O13+O16+O17</f>
        <v>5113.8333333333303</v>
      </c>
      <c r="P11" s="75">
        <f>P12+P15+P13+P16+P17</f>
        <v>62.5</v>
      </c>
      <c r="S11" s="118"/>
    </row>
    <row r="12" spans="1:19" s="2" customFormat="1" ht="39.950000000000003" customHeight="1">
      <c r="A12" s="24" t="s">
        <v>76</v>
      </c>
      <c r="B12" s="25" t="s">
        <v>77</v>
      </c>
      <c r="C12" s="26" t="s">
        <v>78</v>
      </c>
      <c r="D12" s="27">
        <v>6131.4</v>
      </c>
      <c r="E12" s="27">
        <v>3667.3</v>
      </c>
      <c r="F12" s="27">
        <f>E12/8*12</f>
        <v>5500.95</v>
      </c>
      <c r="G12" s="27">
        <v>17300</v>
      </c>
      <c r="H12" s="27">
        <v>8970.7999999999993</v>
      </c>
      <c r="I12" s="27">
        <v>15500</v>
      </c>
      <c r="J12" s="47">
        <v>12426</v>
      </c>
      <c r="K12" s="76">
        <f>J12*1.058</f>
        <v>13146.708000000001</v>
      </c>
      <c r="L12" s="77">
        <f>K12*1.055</f>
        <v>13869.77694</v>
      </c>
      <c r="M12" s="75">
        <f>J12/3</f>
        <v>4142</v>
      </c>
      <c r="N12" s="75">
        <f>J12/3</f>
        <v>4142</v>
      </c>
      <c r="O12" s="75">
        <f>J12/3</f>
        <v>4142</v>
      </c>
      <c r="P12" s="75">
        <v>0</v>
      </c>
      <c r="S12" s="118"/>
    </row>
    <row r="13" spans="1:19" s="2" customFormat="1" ht="60.75" hidden="1" customHeight="1">
      <c r="A13" s="24" t="s">
        <v>79</v>
      </c>
      <c r="B13" s="25" t="s">
        <v>80</v>
      </c>
      <c r="C13" s="26" t="s">
        <v>81</v>
      </c>
      <c r="D13" s="27">
        <v>2450</v>
      </c>
      <c r="E13" s="27">
        <v>2220.5</v>
      </c>
      <c r="F13" s="27">
        <f>E13/8*12</f>
        <v>3330.75</v>
      </c>
      <c r="G13" s="27"/>
      <c r="H13" s="27"/>
      <c r="I13" s="27">
        <f>H13/8*12</f>
        <v>0</v>
      </c>
      <c r="J13" s="47">
        <f t="shared" ref="J13:K47" si="2">I13*1.058</f>
        <v>0</v>
      </c>
      <c r="K13" s="76">
        <f t="shared" si="2"/>
        <v>0</v>
      </c>
      <c r="L13" s="77">
        <f t="shared" ref="L13:L47" si="3">K13*1.055</f>
        <v>0</v>
      </c>
      <c r="M13" s="27">
        <v>0</v>
      </c>
      <c r="N13" s="27">
        <v>0</v>
      </c>
      <c r="O13" s="27">
        <v>0</v>
      </c>
      <c r="P13" s="27">
        <v>0</v>
      </c>
      <c r="S13" s="118"/>
    </row>
    <row r="14" spans="1:19" s="2" customFormat="1" ht="39.950000000000003" customHeight="1">
      <c r="A14" s="24" t="s">
        <v>82</v>
      </c>
      <c r="B14" s="25" t="s">
        <v>83</v>
      </c>
      <c r="C14" s="26" t="s">
        <v>84</v>
      </c>
      <c r="D14" s="27"/>
      <c r="E14" s="27"/>
      <c r="F14" s="27"/>
      <c r="G14" s="27">
        <f>G15</f>
        <v>760</v>
      </c>
      <c r="H14" s="27">
        <f>H15</f>
        <v>824.4</v>
      </c>
      <c r="I14" s="27">
        <f>I15</f>
        <v>1236.5999999999999</v>
      </c>
      <c r="J14" s="47">
        <f>J15</f>
        <v>2728</v>
      </c>
      <c r="K14" s="76">
        <f t="shared" si="2"/>
        <v>2886.2240000000002</v>
      </c>
      <c r="L14" s="77">
        <f t="shared" si="3"/>
        <v>3044.96632</v>
      </c>
      <c r="M14" s="75">
        <f>M15</f>
        <v>909.33333333333303</v>
      </c>
      <c r="N14" s="75">
        <f>N15</f>
        <v>909.33333333333303</v>
      </c>
      <c r="O14" s="75">
        <f>O15</f>
        <v>909.33333333333303</v>
      </c>
      <c r="P14" s="75">
        <f>P15</f>
        <v>0</v>
      </c>
      <c r="S14" s="118"/>
    </row>
    <row r="15" spans="1:19" s="2" customFormat="1" ht="39.950000000000003" customHeight="1">
      <c r="A15" s="24" t="s">
        <v>85</v>
      </c>
      <c r="B15" s="25" t="s">
        <v>86</v>
      </c>
      <c r="C15" s="26" t="s">
        <v>84</v>
      </c>
      <c r="D15" s="27">
        <v>800</v>
      </c>
      <c r="E15" s="27">
        <v>733.2</v>
      </c>
      <c r="F15" s="27">
        <f>E15/8*12</f>
        <v>1099.8</v>
      </c>
      <c r="G15" s="27">
        <v>760</v>
      </c>
      <c r="H15" s="27">
        <v>824.4</v>
      </c>
      <c r="I15" s="27">
        <f t="shared" ref="I15:I20" si="4">H15/8*12</f>
        <v>1236.5999999999999</v>
      </c>
      <c r="J15" s="47">
        <v>2728</v>
      </c>
      <c r="K15" s="76">
        <f t="shared" si="2"/>
        <v>2886.2240000000002</v>
      </c>
      <c r="L15" s="77">
        <f t="shared" si="3"/>
        <v>3044.96632</v>
      </c>
      <c r="M15" s="75">
        <f>J15/3</f>
        <v>909.33333333333303</v>
      </c>
      <c r="N15" s="75">
        <f>J15/3</f>
        <v>909.33333333333303</v>
      </c>
      <c r="O15" s="75">
        <f>J15/3</f>
        <v>909.33333333333303</v>
      </c>
      <c r="P15" s="75">
        <v>0</v>
      </c>
      <c r="S15" s="118"/>
    </row>
    <row r="16" spans="1:19" s="2" customFormat="1" ht="39.950000000000003" hidden="1" customHeight="1">
      <c r="A16" s="24" t="s">
        <v>85</v>
      </c>
      <c r="B16" s="25" t="s">
        <v>87</v>
      </c>
      <c r="C16" s="26" t="s">
        <v>88</v>
      </c>
      <c r="D16" s="27">
        <v>10</v>
      </c>
      <c r="E16" s="27">
        <v>-74.790000000000006</v>
      </c>
      <c r="F16" s="27">
        <v>10</v>
      </c>
      <c r="G16" s="28"/>
      <c r="H16" s="28"/>
      <c r="I16" s="27">
        <f t="shared" si="4"/>
        <v>0</v>
      </c>
      <c r="J16" s="47">
        <f t="shared" si="2"/>
        <v>0</v>
      </c>
      <c r="K16" s="76">
        <f t="shared" si="2"/>
        <v>0</v>
      </c>
      <c r="L16" s="77">
        <f t="shared" si="3"/>
        <v>0</v>
      </c>
      <c r="M16" s="27">
        <v>0</v>
      </c>
      <c r="N16" s="27">
        <v>0</v>
      </c>
      <c r="O16" s="27">
        <v>0</v>
      </c>
      <c r="P16" s="27">
        <v>0</v>
      </c>
      <c r="S16" s="118"/>
    </row>
    <row r="17" spans="1:19" s="2" customFormat="1" ht="39.950000000000003" customHeight="1">
      <c r="A17" s="24" t="s">
        <v>89</v>
      </c>
      <c r="B17" s="25" t="s">
        <v>90</v>
      </c>
      <c r="C17" s="26" t="s">
        <v>91</v>
      </c>
      <c r="D17" s="27"/>
      <c r="E17" s="27"/>
      <c r="F17" s="27"/>
      <c r="G17" s="27">
        <v>560</v>
      </c>
      <c r="H17" s="27">
        <v>17.8</v>
      </c>
      <c r="I17" s="27">
        <f t="shared" si="4"/>
        <v>26.7</v>
      </c>
      <c r="J17" s="47">
        <v>250</v>
      </c>
      <c r="K17" s="76">
        <f t="shared" si="2"/>
        <v>264.5</v>
      </c>
      <c r="L17" s="77">
        <f t="shared" si="3"/>
        <v>279.04750000000001</v>
      </c>
      <c r="M17" s="75">
        <f>J17/4</f>
        <v>62.5</v>
      </c>
      <c r="N17" s="75">
        <f>J17/4</f>
        <v>62.5</v>
      </c>
      <c r="O17" s="75">
        <f>J17/4</f>
        <v>62.5</v>
      </c>
      <c r="P17" s="75">
        <f>J17/4</f>
        <v>62.5</v>
      </c>
      <c r="S17" s="118"/>
    </row>
    <row r="18" spans="1:19" s="2" customFormat="1" ht="39.950000000000003" customHeight="1">
      <c r="A18" s="24" t="s">
        <v>92</v>
      </c>
      <c r="B18" s="25" t="s">
        <v>93</v>
      </c>
      <c r="C18" s="26" t="s">
        <v>94</v>
      </c>
      <c r="D18" s="27">
        <f>D19+D20</f>
        <v>240</v>
      </c>
      <c r="E18" s="27">
        <f>E19+E20</f>
        <v>181.5</v>
      </c>
      <c r="F18" s="27">
        <f>E18/8*12</f>
        <v>272.25</v>
      </c>
      <c r="G18" s="27">
        <f>G19+G20</f>
        <v>200</v>
      </c>
      <c r="H18" s="27">
        <f>H19+H20</f>
        <v>223.2</v>
      </c>
      <c r="I18" s="27">
        <f t="shared" si="4"/>
        <v>334.8</v>
      </c>
      <c r="J18" s="47">
        <f>J19</f>
        <v>224</v>
      </c>
      <c r="K18" s="76">
        <f t="shared" si="2"/>
        <v>236.99199999999999</v>
      </c>
      <c r="L18" s="77">
        <f t="shared" si="3"/>
        <v>250.02655999999999</v>
      </c>
      <c r="M18" s="75">
        <f>M19</f>
        <v>74.6666666666667</v>
      </c>
      <c r="N18" s="75">
        <f>N19</f>
        <v>74.6666666666667</v>
      </c>
      <c r="O18" s="75">
        <f>O19</f>
        <v>74.6666666666667</v>
      </c>
      <c r="P18" s="75">
        <f>P19</f>
        <v>0</v>
      </c>
      <c r="S18" s="118"/>
    </row>
    <row r="19" spans="1:19" s="2" customFormat="1" ht="39.950000000000003" customHeight="1">
      <c r="A19" s="24" t="s">
        <v>95</v>
      </c>
      <c r="B19" s="25" t="s">
        <v>96</v>
      </c>
      <c r="C19" s="26" t="s">
        <v>94</v>
      </c>
      <c r="D19" s="27">
        <v>120</v>
      </c>
      <c r="E19" s="27">
        <v>130.5</v>
      </c>
      <c r="F19" s="27">
        <f>E19/8*12</f>
        <v>195.75</v>
      </c>
      <c r="G19" s="27">
        <v>200</v>
      </c>
      <c r="H19" s="27">
        <v>223.2</v>
      </c>
      <c r="I19" s="27">
        <f t="shared" si="4"/>
        <v>334.8</v>
      </c>
      <c r="J19" s="47">
        <v>224</v>
      </c>
      <c r="K19" s="76">
        <f t="shared" si="2"/>
        <v>236.99199999999999</v>
      </c>
      <c r="L19" s="77">
        <f t="shared" si="3"/>
        <v>250.02655999999999</v>
      </c>
      <c r="M19" s="75">
        <f>J19/3</f>
        <v>74.6666666666667</v>
      </c>
      <c r="N19" s="75">
        <f>J19/3</f>
        <v>74.6666666666667</v>
      </c>
      <c r="O19" s="75">
        <f>J19/3</f>
        <v>74.6666666666667</v>
      </c>
      <c r="P19" s="75">
        <v>0</v>
      </c>
      <c r="S19" s="118"/>
    </row>
    <row r="20" spans="1:19" s="6" customFormat="1" ht="45" customHeight="1">
      <c r="A20" s="24" t="s">
        <v>97</v>
      </c>
      <c r="B20" s="25" t="s">
        <v>98</v>
      </c>
      <c r="C20" s="26" t="s">
        <v>99</v>
      </c>
      <c r="D20" s="27">
        <v>120</v>
      </c>
      <c r="E20" s="27">
        <v>51</v>
      </c>
      <c r="F20" s="27">
        <f>E20/8*12</f>
        <v>76.5</v>
      </c>
      <c r="G20" s="28"/>
      <c r="H20" s="27"/>
      <c r="I20" s="27">
        <f t="shared" si="4"/>
        <v>0</v>
      </c>
      <c r="J20" s="47">
        <v>16</v>
      </c>
      <c r="K20" s="76">
        <f t="shared" si="2"/>
        <v>16.928000000000001</v>
      </c>
      <c r="L20" s="77">
        <f t="shared" si="3"/>
        <v>17.85904</v>
      </c>
      <c r="M20" s="78"/>
      <c r="N20" s="78"/>
      <c r="O20" s="78"/>
      <c r="P20" s="78"/>
      <c r="S20" s="117"/>
    </row>
    <row r="21" spans="1:19" s="2" customFormat="1" ht="15.75">
      <c r="A21" s="20" t="s">
        <v>100</v>
      </c>
      <c r="B21" s="21" t="s">
        <v>101</v>
      </c>
      <c r="C21" s="22" t="s">
        <v>102</v>
      </c>
      <c r="D21" s="23">
        <f>D22</f>
        <v>300</v>
      </c>
      <c r="E21" s="23">
        <f t="shared" ref="E21:P22" si="5">E22</f>
        <v>175</v>
      </c>
      <c r="F21" s="23">
        <f t="shared" si="5"/>
        <v>262.5</v>
      </c>
      <c r="G21" s="23">
        <f t="shared" si="5"/>
        <v>1600</v>
      </c>
      <c r="H21" s="23">
        <f t="shared" si="5"/>
        <v>950.7</v>
      </c>
      <c r="I21" s="23">
        <f t="shared" si="5"/>
        <v>1600</v>
      </c>
      <c r="J21" s="69">
        <f t="shared" si="5"/>
        <v>2985</v>
      </c>
      <c r="K21" s="79">
        <f t="shared" si="5"/>
        <v>3158.13</v>
      </c>
      <c r="L21" s="80">
        <f t="shared" si="5"/>
        <v>3331.8271500000001</v>
      </c>
      <c r="M21" s="72">
        <f t="shared" si="5"/>
        <v>995</v>
      </c>
      <c r="N21" s="72">
        <f t="shared" si="5"/>
        <v>995</v>
      </c>
      <c r="O21" s="72">
        <f t="shared" si="5"/>
        <v>995</v>
      </c>
      <c r="P21" s="72">
        <f t="shared" si="5"/>
        <v>0</v>
      </c>
      <c r="S21" s="118"/>
    </row>
    <row r="22" spans="1:19" ht="39.950000000000003" customHeight="1">
      <c r="A22" s="24" t="s">
        <v>103</v>
      </c>
      <c r="B22" s="25" t="s">
        <v>104</v>
      </c>
      <c r="C22" s="29" t="s">
        <v>105</v>
      </c>
      <c r="D22" s="27">
        <f>D23</f>
        <v>300</v>
      </c>
      <c r="E22" s="27">
        <v>175</v>
      </c>
      <c r="F22" s="27">
        <f t="shared" si="5"/>
        <v>262.5</v>
      </c>
      <c r="G22" s="27">
        <f t="shared" si="5"/>
        <v>1600</v>
      </c>
      <c r="H22" s="27">
        <f t="shared" si="5"/>
        <v>950.7</v>
      </c>
      <c r="I22" s="27">
        <f>I23</f>
        <v>1600</v>
      </c>
      <c r="J22" s="47">
        <f>J23</f>
        <v>2985</v>
      </c>
      <c r="K22" s="76">
        <f t="shared" si="2"/>
        <v>3158.13</v>
      </c>
      <c r="L22" s="77">
        <f t="shared" si="3"/>
        <v>3331.8271500000001</v>
      </c>
      <c r="M22" s="75">
        <f t="shared" si="5"/>
        <v>995</v>
      </c>
      <c r="N22" s="75">
        <f t="shared" si="5"/>
        <v>995</v>
      </c>
      <c r="O22" s="75">
        <f t="shared" si="5"/>
        <v>995</v>
      </c>
      <c r="P22" s="75">
        <f t="shared" si="5"/>
        <v>0</v>
      </c>
    </row>
    <row r="23" spans="1:19" s="2" customFormat="1" ht="63.75">
      <c r="A23" s="24" t="s">
        <v>106</v>
      </c>
      <c r="B23" s="25" t="s">
        <v>107</v>
      </c>
      <c r="C23" s="26" t="s">
        <v>108</v>
      </c>
      <c r="D23" s="27">
        <v>300</v>
      </c>
      <c r="E23" s="27">
        <v>175</v>
      </c>
      <c r="F23" s="27">
        <f>E23/8*12</f>
        <v>262.5</v>
      </c>
      <c r="G23" s="27">
        <v>1600</v>
      </c>
      <c r="H23" s="27">
        <v>950.7</v>
      </c>
      <c r="I23" s="27">
        <v>1600</v>
      </c>
      <c r="J23" s="47">
        <f>1985+1000</f>
        <v>2985</v>
      </c>
      <c r="K23" s="76">
        <f t="shared" si="2"/>
        <v>3158.13</v>
      </c>
      <c r="L23" s="77">
        <f t="shared" si="3"/>
        <v>3331.8271500000001</v>
      </c>
      <c r="M23" s="75">
        <f>J23/3</f>
        <v>995</v>
      </c>
      <c r="N23" s="75">
        <f>J23/3</f>
        <v>995</v>
      </c>
      <c r="O23" s="75">
        <f>J23/3</f>
        <v>995</v>
      </c>
      <c r="P23" s="75">
        <v>0</v>
      </c>
      <c r="S23" s="118"/>
    </row>
    <row r="24" spans="1:19" s="2" customFormat="1" ht="38.25">
      <c r="A24" s="20">
        <v>3</v>
      </c>
      <c r="B24" s="21" t="s">
        <v>109</v>
      </c>
      <c r="C24" s="22" t="s">
        <v>110</v>
      </c>
      <c r="D24" s="23" t="e">
        <f>#REF!+#REF!+D25+#REF!+#REF!</f>
        <v>#REF!</v>
      </c>
      <c r="E24" s="23" t="e">
        <f>#REF!+#REF!+E25+#REF!+#REF!</f>
        <v>#REF!</v>
      </c>
      <c r="F24" s="23" t="e">
        <f>#REF!+#REF!+F25+#REF!+#REF!</f>
        <v>#REF!</v>
      </c>
      <c r="G24" s="23">
        <f t="shared" ref="G24:P24" si="6">G29+G33</f>
        <v>9275.4</v>
      </c>
      <c r="H24" s="23">
        <f t="shared" si="6"/>
        <v>6457.7</v>
      </c>
      <c r="I24" s="23">
        <f t="shared" si="6"/>
        <v>10024</v>
      </c>
      <c r="J24" s="69">
        <f t="shared" si="6"/>
        <v>6746</v>
      </c>
      <c r="K24" s="79">
        <f t="shared" si="6"/>
        <v>7137.268</v>
      </c>
      <c r="L24" s="80">
        <f t="shared" si="6"/>
        <v>7529.8177400000004</v>
      </c>
      <c r="M24" s="81">
        <f t="shared" si="6"/>
        <v>2247.6666666666702</v>
      </c>
      <c r="N24" s="81">
        <f t="shared" si="6"/>
        <v>2247.6666666666702</v>
      </c>
      <c r="O24" s="81">
        <f t="shared" si="6"/>
        <v>2247.6666666666702</v>
      </c>
      <c r="P24" s="81">
        <f t="shared" si="6"/>
        <v>3</v>
      </c>
      <c r="S24" s="118"/>
    </row>
    <row r="25" spans="1:19" s="2" customFormat="1" ht="30" hidden="1" customHeight="1">
      <c r="A25" s="30"/>
      <c r="B25" s="31" t="s">
        <v>111</v>
      </c>
      <c r="C25" s="32" t="s">
        <v>112</v>
      </c>
      <c r="D25" s="27">
        <f>D30</f>
        <v>5500</v>
      </c>
      <c r="E25" s="27">
        <f>E30</f>
        <v>3350.4</v>
      </c>
      <c r="F25" s="27">
        <f>F30</f>
        <v>5025.6000000000004</v>
      </c>
      <c r="G25" s="28"/>
      <c r="H25" s="27">
        <f>H26</f>
        <v>0</v>
      </c>
      <c r="I25" s="27">
        <f>H25/8*12</f>
        <v>0</v>
      </c>
      <c r="J25" s="47">
        <f t="shared" si="2"/>
        <v>0</v>
      </c>
      <c r="K25" s="76">
        <f t="shared" si="2"/>
        <v>0</v>
      </c>
      <c r="L25" s="77">
        <f t="shared" si="3"/>
        <v>0</v>
      </c>
      <c r="M25" s="75">
        <f t="shared" ref="M25:P28" si="7">L25*1.058</f>
        <v>0</v>
      </c>
      <c r="N25" s="75">
        <f t="shared" si="7"/>
        <v>0</v>
      </c>
      <c r="O25" s="75">
        <f t="shared" si="7"/>
        <v>0</v>
      </c>
      <c r="P25" s="75">
        <f t="shared" si="7"/>
        <v>0</v>
      </c>
      <c r="S25" s="118"/>
    </row>
    <row r="26" spans="1:19" s="2" customFormat="1" ht="57.75" hidden="1" customHeight="1">
      <c r="A26" s="30"/>
      <c r="B26" s="31" t="s">
        <v>113</v>
      </c>
      <c r="C26" s="32" t="s">
        <v>114</v>
      </c>
      <c r="D26" s="27">
        <f>D30</f>
        <v>5500</v>
      </c>
      <c r="E26" s="27">
        <f>E30</f>
        <v>3350.4</v>
      </c>
      <c r="F26" s="27">
        <f>F30</f>
        <v>5025.6000000000004</v>
      </c>
      <c r="G26" s="28"/>
      <c r="H26" s="27">
        <f>H27</f>
        <v>0</v>
      </c>
      <c r="I26" s="27">
        <f>H26/8*12</f>
        <v>0</v>
      </c>
      <c r="J26" s="47">
        <f t="shared" si="2"/>
        <v>0</v>
      </c>
      <c r="K26" s="76">
        <f t="shared" si="2"/>
        <v>0</v>
      </c>
      <c r="L26" s="77">
        <f t="shared" si="3"/>
        <v>0</v>
      </c>
      <c r="M26" s="75">
        <f t="shared" si="7"/>
        <v>0</v>
      </c>
      <c r="N26" s="75">
        <f t="shared" si="7"/>
        <v>0</v>
      </c>
      <c r="O26" s="75">
        <f t="shared" si="7"/>
        <v>0</v>
      </c>
      <c r="P26" s="75">
        <f t="shared" si="7"/>
        <v>0</v>
      </c>
      <c r="S26" s="118"/>
    </row>
    <row r="27" spans="1:19" s="2" customFormat="1" ht="36" hidden="1" customHeight="1">
      <c r="A27" s="30"/>
      <c r="B27" s="31" t="s">
        <v>115</v>
      </c>
      <c r="C27" s="32" t="s">
        <v>116</v>
      </c>
      <c r="D27" s="27">
        <f>D30</f>
        <v>5500</v>
      </c>
      <c r="E27" s="27">
        <v>3350.4</v>
      </c>
      <c r="F27" s="27">
        <f>F30</f>
        <v>5025.6000000000004</v>
      </c>
      <c r="G27" s="28"/>
      <c r="H27" s="27">
        <f>H28</f>
        <v>0</v>
      </c>
      <c r="I27" s="27">
        <f>H27/8*12</f>
        <v>0</v>
      </c>
      <c r="J27" s="47">
        <f t="shared" si="2"/>
        <v>0</v>
      </c>
      <c r="K27" s="76">
        <f t="shared" si="2"/>
        <v>0</v>
      </c>
      <c r="L27" s="77">
        <f t="shared" si="3"/>
        <v>0</v>
      </c>
      <c r="M27" s="75">
        <f t="shared" si="7"/>
        <v>0</v>
      </c>
      <c r="N27" s="75">
        <f t="shared" si="7"/>
        <v>0</v>
      </c>
      <c r="O27" s="75">
        <f t="shared" si="7"/>
        <v>0</v>
      </c>
      <c r="P27" s="75">
        <f t="shared" si="7"/>
        <v>0</v>
      </c>
      <c r="S27" s="118"/>
    </row>
    <row r="28" spans="1:19" s="2" customFormat="1" ht="51" hidden="1">
      <c r="A28" s="30"/>
      <c r="B28" s="31" t="s">
        <v>117</v>
      </c>
      <c r="C28" s="32" t="s">
        <v>118</v>
      </c>
      <c r="D28" s="27">
        <v>5500</v>
      </c>
      <c r="E28" s="27">
        <v>3350.4</v>
      </c>
      <c r="F28" s="27">
        <f>E28/8*12</f>
        <v>5025.6000000000004</v>
      </c>
      <c r="G28" s="28"/>
      <c r="H28" s="27">
        <f>G28*1.05</f>
        <v>0</v>
      </c>
      <c r="I28" s="27">
        <f>H28/8*12</f>
        <v>0</v>
      </c>
      <c r="J28" s="47">
        <f t="shared" si="2"/>
        <v>0</v>
      </c>
      <c r="K28" s="76">
        <f t="shared" si="2"/>
        <v>0</v>
      </c>
      <c r="L28" s="77">
        <f t="shared" si="3"/>
        <v>0</v>
      </c>
      <c r="M28" s="75">
        <f t="shared" si="7"/>
        <v>0</v>
      </c>
      <c r="N28" s="75">
        <f t="shared" si="7"/>
        <v>0</v>
      </c>
      <c r="O28" s="75">
        <f t="shared" si="7"/>
        <v>0</v>
      </c>
      <c r="P28" s="75">
        <f t="shared" si="7"/>
        <v>0</v>
      </c>
      <c r="S28" s="118"/>
    </row>
    <row r="29" spans="1:19" s="2" customFormat="1" ht="65.099999999999994" customHeight="1">
      <c r="A29" s="24" t="s">
        <v>119</v>
      </c>
      <c r="B29" s="33" t="s">
        <v>120</v>
      </c>
      <c r="C29" s="26" t="s">
        <v>121</v>
      </c>
      <c r="D29" s="23"/>
      <c r="E29" s="23"/>
      <c r="F29" s="23"/>
      <c r="G29" s="27">
        <f t="shared" ref="G29:I31" si="8">G30</f>
        <v>9251.4</v>
      </c>
      <c r="H29" s="27">
        <f t="shared" si="8"/>
        <v>6445.7</v>
      </c>
      <c r="I29" s="27">
        <f t="shared" si="8"/>
        <v>10000</v>
      </c>
      <c r="J29" s="47">
        <f>J30</f>
        <v>6734</v>
      </c>
      <c r="K29" s="76">
        <f t="shared" si="2"/>
        <v>7124.5720000000001</v>
      </c>
      <c r="L29" s="77">
        <f t="shared" si="3"/>
        <v>7516.42346</v>
      </c>
      <c r="M29" s="75">
        <f t="shared" ref="M29:P31" si="9">M30</f>
        <v>2244.6666666666702</v>
      </c>
      <c r="N29" s="75">
        <f t="shared" si="9"/>
        <v>2244.6666666666702</v>
      </c>
      <c r="O29" s="75">
        <f t="shared" si="9"/>
        <v>2244.6666666666702</v>
      </c>
      <c r="P29" s="75">
        <f t="shared" si="9"/>
        <v>0</v>
      </c>
      <c r="S29" s="118"/>
    </row>
    <row r="30" spans="1:19" s="2" customFormat="1" ht="65.099999999999994" customHeight="1">
      <c r="A30" s="24" t="s">
        <v>122</v>
      </c>
      <c r="B30" s="33" t="s">
        <v>123</v>
      </c>
      <c r="C30" s="26" t="s">
        <v>124</v>
      </c>
      <c r="D30" s="27">
        <v>5500</v>
      </c>
      <c r="E30" s="27">
        <v>3350.4</v>
      </c>
      <c r="F30" s="27">
        <f>E30/8*12</f>
        <v>5025.6000000000004</v>
      </c>
      <c r="G30" s="27">
        <f t="shared" si="8"/>
        <v>9251.4</v>
      </c>
      <c r="H30" s="27">
        <f t="shared" si="8"/>
        <v>6445.7</v>
      </c>
      <c r="I30" s="27">
        <f>I31</f>
        <v>10000</v>
      </c>
      <c r="J30" s="47">
        <f>J31</f>
        <v>6734</v>
      </c>
      <c r="K30" s="76">
        <f t="shared" si="2"/>
        <v>7124.5720000000001</v>
      </c>
      <c r="L30" s="77">
        <f t="shared" si="3"/>
        <v>7516.42346</v>
      </c>
      <c r="M30" s="75">
        <f t="shared" si="9"/>
        <v>2244.6666666666702</v>
      </c>
      <c r="N30" s="75">
        <f t="shared" si="9"/>
        <v>2244.6666666666702</v>
      </c>
      <c r="O30" s="75">
        <f t="shared" si="9"/>
        <v>2244.6666666666702</v>
      </c>
      <c r="P30" s="75">
        <f t="shared" si="9"/>
        <v>0</v>
      </c>
      <c r="S30" s="118"/>
    </row>
    <row r="31" spans="1:19" s="2" customFormat="1" ht="84" customHeight="1">
      <c r="A31" s="24" t="s">
        <v>125</v>
      </c>
      <c r="B31" s="33" t="s">
        <v>126</v>
      </c>
      <c r="C31" s="26" t="s">
        <v>127</v>
      </c>
      <c r="D31" s="34">
        <f>D32</f>
        <v>3450</v>
      </c>
      <c r="E31" s="34">
        <f>E32</f>
        <v>1791.7</v>
      </c>
      <c r="F31" s="34">
        <f>F32</f>
        <v>2090</v>
      </c>
      <c r="G31" s="27">
        <f>G32</f>
        <v>9251.4</v>
      </c>
      <c r="H31" s="27">
        <f t="shared" si="8"/>
        <v>6445.7</v>
      </c>
      <c r="I31" s="27">
        <f>I32</f>
        <v>10000</v>
      </c>
      <c r="J31" s="47">
        <f>J32</f>
        <v>6734</v>
      </c>
      <c r="K31" s="76">
        <f t="shared" si="2"/>
        <v>7124.5720000000001</v>
      </c>
      <c r="L31" s="77">
        <f t="shared" si="3"/>
        <v>7516.42346</v>
      </c>
      <c r="M31" s="75">
        <f t="shared" si="9"/>
        <v>2244.6666666666702</v>
      </c>
      <c r="N31" s="75">
        <f t="shared" si="9"/>
        <v>2244.6666666666702</v>
      </c>
      <c r="O31" s="75">
        <f t="shared" si="9"/>
        <v>2244.6666666666702</v>
      </c>
      <c r="P31" s="75">
        <f t="shared" si="9"/>
        <v>0</v>
      </c>
      <c r="S31" s="118"/>
    </row>
    <row r="32" spans="1:19" s="2" customFormat="1" ht="65.099999999999994" customHeight="1">
      <c r="A32" s="24" t="s">
        <v>128</v>
      </c>
      <c r="B32" s="33" t="s">
        <v>129</v>
      </c>
      <c r="C32" s="26" t="s">
        <v>130</v>
      </c>
      <c r="D32" s="35">
        <f>D33</f>
        <v>3450</v>
      </c>
      <c r="E32" s="35">
        <f>E33</f>
        <v>1791.7</v>
      </c>
      <c r="F32" s="35">
        <f>F33</f>
        <v>2090</v>
      </c>
      <c r="G32" s="27">
        <f>9214.3+37.1</f>
        <v>9251.4</v>
      </c>
      <c r="H32" s="35">
        <v>6445.7</v>
      </c>
      <c r="I32" s="27">
        <v>10000</v>
      </c>
      <c r="J32" s="47">
        <v>6734</v>
      </c>
      <c r="K32" s="76">
        <f t="shared" si="2"/>
        <v>7124.5720000000001</v>
      </c>
      <c r="L32" s="77">
        <f t="shared" si="3"/>
        <v>7516.42346</v>
      </c>
      <c r="M32" s="75">
        <f>J32/3</f>
        <v>2244.6666666666702</v>
      </c>
      <c r="N32" s="75">
        <f>J32/3</f>
        <v>2244.6666666666702</v>
      </c>
      <c r="O32" s="75">
        <f>J32/3</f>
        <v>2244.6666666666702</v>
      </c>
      <c r="P32" s="75">
        <v>0</v>
      </c>
      <c r="S32" s="118"/>
    </row>
    <row r="33" spans="1:19" s="2" customFormat="1" ht="31.5" customHeight="1">
      <c r="A33" s="24" t="s">
        <v>131</v>
      </c>
      <c r="B33" s="33" t="s">
        <v>132</v>
      </c>
      <c r="C33" s="26" t="s">
        <v>133</v>
      </c>
      <c r="D33" s="27">
        <f>D34</f>
        <v>3450</v>
      </c>
      <c r="E33" s="27">
        <f>E34</f>
        <v>1791.7</v>
      </c>
      <c r="F33" s="27">
        <v>2090</v>
      </c>
      <c r="G33" s="27">
        <f t="shared" ref="G33:P33" si="10">G34</f>
        <v>24</v>
      </c>
      <c r="H33" s="27">
        <f t="shared" si="10"/>
        <v>12</v>
      </c>
      <c r="I33" s="27">
        <f t="shared" si="10"/>
        <v>24</v>
      </c>
      <c r="J33" s="47">
        <f t="shared" si="10"/>
        <v>12</v>
      </c>
      <c r="K33" s="82">
        <f t="shared" si="10"/>
        <v>12.696</v>
      </c>
      <c r="L33" s="83">
        <f t="shared" si="10"/>
        <v>13.39428</v>
      </c>
      <c r="M33" s="75">
        <f t="shared" si="10"/>
        <v>3</v>
      </c>
      <c r="N33" s="75">
        <f t="shared" si="10"/>
        <v>3</v>
      </c>
      <c r="O33" s="75">
        <f t="shared" si="10"/>
        <v>3</v>
      </c>
      <c r="P33" s="75">
        <f t="shared" si="10"/>
        <v>3</v>
      </c>
      <c r="S33" s="118"/>
    </row>
    <row r="34" spans="1:19" s="2" customFormat="1" ht="77.25" customHeight="1">
      <c r="A34" s="24" t="s">
        <v>134</v>
      </c>
      <c r="B34" s="33" t="s">
        <v>135</v>
      </c>
      <c r="C34" s="26" t="s">
        <v>136</v>
      </c>
      <c r="D34" s="35">
        <v>3450</v>
      </c>
      <c r="E34" s="35">
        <v>1791.7</v>
      </c>
      <c r="F34" s="35">
        <v>2090</v>
      </c>
      <c r="G34" s="27">
        <v>24</v>
      </c>
      <c r="H34" s="35">
        <v>12</v>
      </c>
      <c r="I34" s="27">
        <v>24</v>
      </c>
      <c r="J34" s="47">
        <v>12</v>
      </c>
      <c r="K34" s="76">
        <f t="shared" si="2"/>
        <v>12.696</v>
      </c>
      <c r="L34" s="77">
        <f t="shared" si="3"/>
        <v>13.39428</v>
      </c>
      <c r="M34" s="75">
        <f>J34/4</f>
        <v>3</v>
      </c>
      <c r="N34" s="75">
        <f>J34/4</f>
        <v>3</v>
      </c>
      <c r="O34" s="75">
        <f>J34/4</f>
        <v>3</v>
      </c>
      <c r="P34" s="75">
        <f>J34/4</f>
        <v>3</v>
      </c>
      <c r="S34" s="118"/>
    </row>
    <row r="35" spans="1:19" s="2" customFormat="1" ht="25.5" hidden="1">
      <c r="A35" s="36">
        <v>4</v>
      </c>
      <c r="B35" s="37" t="s">
        <v>137</v>
      </c>
      <c r="C35" s="38" t="s">
        <v>138</v>
      </c>
      <c r="D35" s="34">
        <f>D36</f>
        <v>140</v>
      </c>
      <c r="E35" s="34">
        <f t="shared" ref="E35:H37" si="11">E36</f>
        <v>88</v>
      </c>
      <c r="F35" s="34">
        <f t="shared" si="11"/>
        <v>132</v>
      </c>
      <c r="G35" s="34">
        <f t="shared" si="11"/>
        <v>0</v>
      </c>
      <c r="H35" s="34">
        <f t="shared" si="11"/>
        <v>0</v>
      </c>
      <c r="I35" s="27">
        <f>H35/8*12</f>
        <v>0</v>
      </c>
      <c r="J35" s="47">
        <f t="shared" si="2"/>
        <v>0</v>
      </c>
      <c r="K35" s="76">
        <f t="shared" si="2"/>
        <v>0</v>
      </c>
      <c r="L35" s="77">
        <f t="shared" si="3"/>
        <v>0</v>
      </c>
      <c r="M35" s="75"/>
      <c r="N35" s="75"/>
      <c r="O35" s="75"/>
      <c r="P35" s="75"/>
      <c r="S35" s="118"/>
    </row>
    <row r="36" spans="1:19" s="2" customFormat="1" ht="31.5" hidden="1" customHeight="1">
      <c r="A36" s="39" t="s">
        <v>139</v>
      </c>
      <c r="B36" s="40" t="s">
        <v>140</v>
      </c>
      <c r="C36" s="41" t="s">
        <v>141</v>
      </c>
      <c r="D36" s="27">
        <f>D37</f>
        <v>140</v>
      </c>
      <c r="E36" s="27">
        <f t="shared" si="11"/>
        <v>88</v>
      </c>
      <c r="F36" s="27">
        <f t="shared" si="11"/>
        <v>132</v>
      </c>
      <c r="G36" s="35">
        <f t="shared" si="11"/>
        <v>0</v>
      </c>
      <c r="H36" s="27"/>
      <c r="I36" s="27">
        <f>H36/8*12</f>
        <v>0</v>
      </c>
      <c r="J36" s="47">
        <f t="shared" si="2"/>
        <v>0</v>
      </c>
      <c r="K36" s="76">
        <f t="shared" si="2"/>
        <v>0</v>
      </c>
      <c r="L36" s="77">
        <f t="shared" si="3"/>
        <v>0</v>
      </c>
      <c r="M36" s="75"/>
      <c r="N36" s="75"/>
      <c r="O36" s="75"/>
      <c r="P36" s="75"/>
      <c r="S36" s="118"/>
    </row>
    <row r="37" spans="1:19" s="7" customFormat="1" ht="44.25" hidden="1" customHeight="1">
      <c r="A37" s="39" t="s">
        <v>142</v>
      </c>
      <c r="B37" s="40" t="s">
        <v>143</v>
      </c>
      <c r="C37" s="41" t="s">
        <v>144</v>
      </c>
      <c r="D37" s="27">
        <f>D38+D43</f>
        <v>140</v>
      </c>
      <c r="E37" s="27">
        <v>88</v>
      </c>
      <c r="F37" s="27">
        <f>E37/8*12</f>
        <v>132</v>
      </c>
      <c r="G37" s="35">
        <f t="shared" si="11"/>
        <v>0</v>
      </c>
      <c r="H37" s="27"/>
      <c r="I37" s="27">
        <f>H37/8*12</f>
        <v>0</v>
      </c>
      <c r="J37" s="47">
        <f t="shared" si="2"/>
        <v>0</v>
      </c>
      <c r="K37" s="76">
        <f t="shared" si="2"/>
        <v>0</v>
      </c>
      <c r="L37" s="77">
        <f t="shared" si="3"/>
        <v>0</v>
      </c>
      <c r="M37" s="75"/>
      <c r="N37" s="75"/>
      <c r="O37" s="75"/>
      <c r="P37" s="75"/>
      <c r="S37" s="119"/>
    </row>
    <row r="38" spans="1:19" s="7" customFormat="1" ht="76.5" hidden="1" customHeight="1">
      <c r="A38" s="39" t="s">
        <v>145</v>
      </c>
      <c r="B38" s="40" t="s">
        <v>146</v>
      </c>
      <c r="C38" s="41" t="s">
        <v>147</v>
      </c>
      <c r="D38" s="27">
        <v>125</v>
      </c>
      <c r="E38" s="27">
        <v>88</v>
      </c>
      <c r="F38" s="27">
        <f>E38/8*12</f>
        <v>132</v>
      </c>
      <c r="G38" s="35">
        <v>0</v>
      </c>
      <c r="H38" s="27"/>
      <c r="I38" s="27">
        <f>H38/8*12</f>
        <v>0</v>
      </c>
      <c r="J38" s="47">
        <f t="shared" si="2"/>
        <v>0</v>
      </c>
      <c r="K38" s="76">
        <f t="shared" si="2"/>
        <v>0</v>
      </c>
      <c r="L38" s="77">
        <f t="shared" si="3"/>
        <v>0</v>
      </c>
      <c r="M38" s="75"/>
      <c r="N38" s="75"/>
      <c r="O38" s="75"/>
      <c r="P38" s="75"/>
      <c r="S38" s="119"/>
    </row>
    <row r="39" spans="1:19" s="7" customFormat="1" ht="43.5" customHeight="1">
      <c r="A39" s="42" t="s">
        <v>148</v>
      </c>
      <c r="B39" s="37" t="s">
        <v>137</v>
      </c>
      <c r="C39" s="43" t="s">
        <v>149</v>
      </c>
      <c r="D39" s="27">
        <v>15</v>
      </c>
      <c r="E39" s="27">
        <v>0</v>
      </c>
      <c r="F39" s="27">
        <v>15</v>
      </c>
      <c r="G39" s="44">
        <f t="shared" ref="G39:L41" si="12">G40</f>
        <v>0</v>
      </c>
      <c r="H39" s="44">
        <f t="shared" si="12"/>
        <v>0</v>
      </c>
      <c r="I39" s="44">
        <f t="shared" si="12"/>
        <v>1402.9</v>
      </c>
      <c r="J39" s="44">
        <f>J40+J44</f>
        <v>798.6</v>
      </c>
      <c r="K39" s="44">
        <f t="shared" si="12"/>
        <v>557.14279999999997</v>
      </c>
      <c r="L39" s="44">
        <f t="shared" si="12"/>
        <v>587.78565400000002</v>
      </c>
      <c r="M39" s="84"/>
      <c r="N39" s="84"/>
      <c r="O39" s="84"/>
      <c r="P39" s="84"/>
      <c r="S39" s="119"/>
    </row>
    <row r="40" spans="1:19" s="7" customFormat="1" ht="31.5" customHeight="1">
      <c r="A40" s="45" t="s">
        <v>139</v>
      </c>
      <c r="B40" s="33" t="s">
        <v>150</v>
      </c>
      <c r="C40" s="46" t="s">
        <v>151</v>
      </c>
      <c r="D40" s="27" t="e">
        <f>D41+#REF!</f>
        <v>#REF!</v>
      </c>
      <c r="E40" s="27" t="e">
        <f>E41+#REF!</f>
        <v>#REF!</v>
      </c>
      <c r="F40" s="27" t="e">
        <f>F41+#REF!</f>
        <v>#REF!</v>
      </c>
      <c r="G40" s="47">
        <f t="shared" si="12"/>
        <v>0</v>
      </c>
      <c r="H40" s="47">
        <f t="shared" si="12"/>
        <v>0</v>
      </c>
      <c r="I40" s="47">
        <f t="shared" si="12"/>
        <v>1402.9</v>
      </c>
      <c r="J40" s="47">
        <f t="shared" si="12"/>
        <v>526.6</v>
      </c>
      <c r="K40" s="69">
        <f t="shared" si="12"/>
        <v>557.14279999999997</v>
      </c>
      <c r="L40" s="69">
        <f t="shared" si="12"/>
        <v>587.78565400000002</v>
      </c>
      <c r="M40" s="84"/>
      <c r="N40" s="84"/>
      <c r="O40" s="84"/>
      <c r="P40" s="84"/>
      <c r="R40" s="120">
        <f>(J9+J50)*0.233</f>
        <v>21211.807400000002</v>
      </c>
      <c r="S40" s="119"/>
    </row>
    <row r="41" spans="1:19" s="7" customFormat="1" ht="45" customHeight="1">
      <c r="A41" s="45" t="s">
        <v>142</v>
      </c>
      <c r="B41" s="33" t="s">
        <v>152</v>
      </c>
      <c r="C41" s="48" t="s">
        <v>153</v>
      </c>
      <c r="D41" s="34">
        <f>D42+D51+D48</f>
        <v>11683.4</v>
      </c>
      <c r="E41" s="34">
        <f>E42+E51+E48</f>
        <v>8755.2000000000007</v>
      </c>
      <c r="F41" s="34">
        <f>F42+F51+F48</f>
        <v>11683.4</v>
      </c>
      <c r="G41" s="47">
        <f>G42</f>
        <v>0</v>
      </c>
      <c r="H41" s="47">
        <f>H42</f>
        <v>0</v>
      </c>
      <c r="I41" s="47">
        <f t="shared" si="12"/>
        <v>1402.9</v>
      </c>
      <c r="J41" s="47">
        <f t="shared" si="12"/>
        <v>526.6</v>
      </c>
      <c r="K41" s="47">
        <f t="shared" si="12"/>
        <v>557.14279999999997</v>
      </c>
      <c r="L41" s="47">
        <f t="shared" si="12"/>
        <v>587.78565400000002</v>
      </c>
      <c r="M41" s="84"/>
      <c r="N41" s="84"/>
      <c r="O41" s="84"/>
      <c r="P41" s="84"/>
      <c r="S41" s="119"/>
    </row>
    <row r="42" spans="1:19" s="6" customFormat="1" ht="73.5" customHeight="1">
      <c r="A42" s="45" t="s">
        <v>145</v>
      </c>
      <c r="B42" s="33" t="s">
        <v>154</v>
      </c>
      <c r="C42" s="48" t="s">
        <v>147</v>
      </c>
      <c r="D42" s="49">
        <f>D47</f>
        <v>5841.7</v>
      </c>
      <c r="E42" s="49">
        <f>E47</f>
        <v>4377.6000000000004</v>
      </c>
      <c r="F42" s="49">
        <f>F47</f>
        <v>5841.7</v>
      </c>
      <c r="G42" s="47">
        <v>0</v>
      </c>
      <c r="H42" s="47">
        <v>0</v>
      </c>
      <c r="I42" s="47">
        <v>1402.9</v>
      </c>
      <c r="J42" s="47">
        <v>526.6</v>
      </c>
      <c r="K42" s="47">
        <f>J42*1.058</f>
        <v>557.14279999999997</v>
      </c>
      <c r="L42" s="47">
        <f>K42*1.055</f>
        <v>587.78565400000002</v>
      </c>
      <c r="M42" s="85"/>
      <c r="N42" s="85"/>
      <c r="O42" s="85"/>
      <c r="P42" s="85"/>
      <c r="S42" s="117"/>
    </row>
    <row r="43" spans="1:19" s="7" customFormat="1" ht="24.75" hidden="1" customHeight="1">
      <c r="A43" s="20" t="s">
        <v>148</v>
      </c>
      <c r="B43" s="21" t="s">
        <v>155</v>
      </c>
      <c r="C43" s="22" t="s">
        <v>156</v>
      </c>
      <c r="D43" s="50">
        <v>15</v>
      </c>
      <c r="E43" s="50">
        <v>0</v>
      </c>
      <c r="F43" s="50">
        <v>15</v>
      </c>
      <c r="G43" s="23">
        <f t="shared" ref="G43:P44" si="13">G44</f>
        <v>30</v>
      </c>
      <c r="H43" s="23">
        <f t="shared" si="13"/>
        <v>19.8</v>
      </c>
      <c r="I43" s="23">
        <f t="shared" si="13"/>
        <v>35</v>
      </c>
      <c r="J43" s="69">
        <f t="shared" si="13"/>
        <v>272</v>
      </c>
      <c r="K43" s="86">
        <f t="shared" si="13"/>
        <v>287.77600000000001</v>
      </c>
      <c r="L43" s="87">
        <f t="shared" si="13"/>
        <v>303.60368</v>
      </c>
      <c r="M43" s="72">
        <f t="shared" si="13"/>
        <v>68</v>
      </c>
      <c r="N43" s="72">
        <f t="shared" si="13"/>
        <v>68</v>
      </c>
      <c r="O43" s="72">
        <f t="shared" si="13"/>
        <v>68</v>
      </c>
      <c r="P43" s="72">
        <f t="shared" si="13"/>
        <v>68</v>
      </c>
      <c r="S43" s="119"/>
    </row>
    <row r="44" spans="1:19" s="7" customFormat="1" ht="30" customHeight="1">
      <c r="A44" s="24" t="s">
        <v>157</v>
      </c>
      <c r="B44" s="33" t="s">
        <v>158</v>
      </c>
      <c r="C44" s="51" t="s">
        <v>159</v>
      </c>
      <c r="D44" s="374" t="e">
        <f>D45+#REF!</f>
        <v>#REF!</v>
      </c>
      <c r="E44" s="374" t="e">
        <f>E45+#REF!</f>
        <v>#REF!</v>
      </c>
      <c r="F44" s="374" t="e">
        <f>F45+#REF!</f>
        <v>#REF!</v>
      </c>
      <c r="G44" s="27">
        <f t="shared" si="13"/>
        <v>30</v>
      </c>
      <c r="H44" s="27">
        <f t="shared" si="13"/>
        <v>19.8</v>
      </c>
      <c r="I44" s="27">
        <f t="shared" si="13"/>
        <v>35</v>
      </c>
      <c r="J44" s="47">
        <f t="shared" si="13"/>
        <v>272</v>
      </c>
      <c r="K44" s="88">
        <f t="shared" si="13"/>
        <v>287.77600000000001</v>
      </c>
      <c r="L44" s="74">
        <f t="shared" si="13"/>
        <v>303.60368</v>
      </c>
      <c r="M44" s="75">
        <f t="shared" si="13"/>
        <v>68</v>
      </c>
      <c r="N44" s="75">
        <f t="shared" si="13"/>
        <v>68</v>
      </c>
      <c r="O44" s="75">
        <f t="shared" si="13"/>
        <v>68</v>
      </c>
      <c r="P44" s="75">
        <f t="shared" si="13"/>
        <v>68</v>
      </c>
      <c r="S44" s="119"/>
    </row>
    <row r="45" spans="1:19" s="7" customFormat="1" ht="57" customHeight="1">
      <c r="A45" s="24" t="s">
        <v>160</v>
      </c>
      <c r="B45" s="33" t="s">
        <v>161</v>
      </c>
      <c r="C45" s="51" t="s">
        <v>162</v>
      </c>
      <c r="D45" s="34">
        <f>D46+D52+D49</f>
        <v>6635.2</v>
      </c>
      <c r="E45" s="34">
        <f>E46+E52+E49</f>
        <v>4901.8</v>
      </c>
      <c r="F45" s="34">
        <f>F46+F52+F49</f>
        <v>6635.2</v>
      </c>
      <c r="G45" s="27">
        <f t="shared" ref="G45:P45" si="14">G46+G47</f>
        <v>30</v>
      </c>
      <c r="H45" s="27">
        <f t="shared" si="14"/>
        <v>19.8</v>
      </c>
      <c r="I45" s="27">
        <f t="shared" si="14"/>
        <v>35</v>
      </c>
      <c r="J45" s="47">
        <f t="shared" si="14"/>
        <v>272</v>
      </c>
      <c r="K45" s="89">
        <f t="shared" si="14"/>
        <v>287.77600000000001</v>
      </c>
      <c r="L45" s="90">
        <f t="shared" si="14"/>
        <v>303.60368</v>
      </c>
      <c r="M45" s="75">
        <f t="shared" si="14"/>
        <v>68</v>
      </c>
      <c r="N45" s="75">
        <f t="shared" si="14"/>
        <v>68</v>
      </c>
      <c r="O45" s="75">
        <f t="shared" si="14"/>
        <v>68</v>
      </c>
      <c r="P45" s="75">
        <f t="shared" si="14"/>
        <v>68</v>
      </c>
      <c r="Q45" s="121"/>
      <c r="S45" s="119"/>
    </row>
    <row r="46" spans="1:19" s="6" customFormat="1" ht="53.25" customHeight="1">
      <c r="A46" s="24" t="s">
        <v>163</v>
      </c>
      <c r="B46" s="25" t="s">
        <v>164</v>
      </c>
      <c r="C46" s="51" t="s">
        <v>165</v>
      </c>
      <c r="D46" s="49">
        <f>D48</f>
        <v>5841.7</v>
      </c>
      <c r="E46" s="49">
        <f>E48</f>
        <v>4377.6000000000004</v>
      </c>
      <c r="F46" s="49">
        <f>F48</f>
        <v>5841.7</v>
      </c>
      <c r="G46" s="27">
        <v>20</v>
      </c>
      <c r="H46" s="27">
        <v>19.8</v>
      </c>
      <c r="I46" s="27">
        <v>30</v>
      </c>
      <c r="J46" s="47">
        <f>10+262</f>
        <v>272</v>
      </c>
      <c r="K46" s="76">
        <f t="shared" si="2"/>
        <v>287.77600000000001</v>
      </c>
      <c r="L46" s="77">
        <f t="shared" si="3"/>
        <v>303.60368</v>
      </c>
      <c r="M46" s="75">
        <f>J46/4</f>
        <v>68</v>
      </c>
      <c r="N46" s="75">
        <f>J46/4</f>
        <v>68</v>
      </c>
      <c r="O46" s="75">
        <f>J46/4</f>
        <v>68</v>
      </c>
      <c r="P46" s="75">
        <f>J46/4</f>
        <v>68</v>
      </c>
      <c r="S46" s="117"/>
    </row>
    <row r="47" spans="1:19" s="2" customFormat="1" ht="61.5" hidden="1" customHeight="1">
      <c r="A47" s="24" t="s">
        <v>166</v>
      </c>
      <c r="B47" s="25" t="s">
        <v>167</v>
      </c>
      <c r="C47" s="26" t="s">
        <v>168</v>
      </c>
      <c r="D47" s="49">
        <f>D48</f>
        <v>5841.7</v>
      </c>
      <c r="E47" s="49">
        <f>E48</f>
        <v>4377.6000000000004</v>
      </c>
      <c r="F47" s="49">
        <f>F48</f>
        <v>5841.7</v>
      </c>
      <c r="G47" s="27">
        <v>10</v>
      </c>
      <c r="H47" s="27">
        <v>0</v>
      </c>
      <c r="I47" s="27">
        <v>5</v>
      </c>
      <c r="J47" s="47">
        <v>0</v>
      </c>
      <c r="K47" s="76">
        <f t="shared" si="2"/>
        <v>0</v>
      </c>
      <c r="L47" s="77">
        <f t="shared" si="3"/>
        <v>0</v>
      </c>
      <c r="M47" s="27">
        <v>0</v>
      </c>
      <c r="N47" s="27">
        <v>0</v>
      </c>
      <c r="O47" s="27">
        <v>0</v>
      </c>
      <c r="P47" s="27">
        <v>0</v>
      </c>
      <c r="S47" s="118"/>
    </row>
    <row r="48" spans="1:19" s="2" customFormat="1" ht="50.25" customHeight="1">
      <c r="A48" s="16" t="s">
        <v>169</v>
      </c>
      <c r="B48" s="17" t="s">
        <v>170</v>
      </c>
      <c r="C48" s="18" t="s">
        <v>171</v>
      </c>
      <c r="D48" s="52">
        <v>5841.7</v>
      </c>
      <c r="E48" s="52">
        <v>4377.6000000000004</v>
      </c>
      <c r="F48" s="52">
        <v>5841.7</v>
      </c>
      <c r="G48" s="19">
        <f t="shared" ref="G48:P48" si="15">G49</f>
        <v>22002.799999999999</v>
      </c>
      <c r="H48" s="19">
        <f t="shared" si="15"/>
        <v>6463.3</v>
      </c>
      <c r="I48" s="19">
        <f t="shared" si="15"/>
        <v>19569.8</v>
      </c>
      <c r="J48" s="65">
        <f t="shared" si="15"/>
        <v>66122.899999999994</v>
      </c>
      <c r="K48" s="91">
        <f t="shared" si="15"/>
        <v>60474.2</v>
      </c>
      <c r="L48" s="92">
        <f t="shared" si="15"/>
        <v>60616</v>
      </c>
      <c r="M48" s="68">
        <f t="shared" si="15"/>
        <v>16530.724999999999</v>
      </c>
      <c r="N48" s="68">
        <f t="shared" si="15"/>
        <v>16530.724999999999</v>
      </c>
      <c r="O48" s="68">
        <f t="shared" si="15"/>
        <v>16530.724999999999</v>
      </c>
      <c r="P48" s="68">
        <f t="shared" si="15"/>
        <v>16530.724999999999</v>
      </c>
      <c r="S48" s="118"/>
    </row>
    <row r="49" spans="1:19" s="2" customFormat="1" ht="42.75" customHeight="1">
      <c r="A49" s="20">
        <v>5</v>
      </c>
      <c r="B49" s="21" t="s">
        <v>172</v>
      </c>
      <c r="C49" s="22" t="s">
        <v>173</v>
      </c>
      <c r="D49" s="23">
        <v>0</v>
      </c>
      <c r="E49" s="23">
        <v>0</v>
      </c>
      <c r="F49" s="23">
        <v>0</v>
      </c>
      <c r="G49" s="23">
        <f t="shared" ref="G49:P49" si="16">G50+G56+G53</f>
        <v>22002.799999999999</v>
      </c>
      <c r="H49" s="23">
        <f t="shared" si="16"/>
        <v>6463.3</v>
      </c>
      <c r="I49" s="23">
        <f t="shared" si="16"/>
        <v>19569.8</v>
      </c>
      <c r="J49" s="69">
        <f t="shared" si="16"/>
        <v>66122.899999999994</v>
      </c>
      <c r="K49" s="93">
        <f t="shared" si="16"/>
        <v>60474.2</v>
      </c>
      <c r="L49" s="94">
        <f t="shared" si="16"/>
        <v>60616</v>
      </c>
      <c r="M49" s="72">
        <f t="shared" si="16"/>
        <v>16530.724999999999</v>
      </c>
      <c r="N49" s="72">
        <f t="shared" si="16"/>
        <v>16530.724999999999</v>
      </c>
      <c r="O49" s="72">
        <f t="shared" si="16"/>
        <v>16530.724999999999</v>
      </c>
      <c r="P49" s="72">
        <f t="shared" si="16"/>
        <v>16530.724999999999</v>
      </c>
      <c r="S49" s="118"/>
    </row>
    <row r="50" spans="1:19" s="7" customFormat="1" ht="36.75" customHeight="1">
      <c r="A50" s="24" t="s">
        <v>174</v>
      </c>
      <c r="B50" s="25" t="s">
        <v>175</v>
      </c>
      <c r="C50" s="26" t="s">
        <v>176</v>
      </c>
      <c r="D50" s="27">
        <f>D51</f>
        <v>0</v>
      </c>
      <c r="E50" s="27">
        <f>E51</f>
        <v>0</v>
      </c>
      <c r="F50" s="27">
        <f>F51</f>
        <v>0</v>
      </c>
      <c r="G50" s="27">
        <f t="shared" ref="G50:P50" si="17">G52</f>
        <v>8472</v>
      </c>
      <c r="H50" s="27">
        <f t="shared" si="17"/>
        <v>5648</v>
      </c>
      <c r="I50" s="27">
        <f>H50/8*12</f>
        <v>8472</v>
      </c>
      <c r="J50" s="47">
        <f t="shared" si="17"/>
        <v>64592.2</v>
      </c>
      <c r="K50" s="95">
        <f t="shared" si="17"/>
        <v>58000</v>
      </c>
      <c r="L50" s="96">
        <f t="shared" si="17"/>
        <v>58000</v>
      </c>
      <c r="M50" s="75">
        <f t="shared" si="17"/>
        <v>16148.05</v>
      </c>
      <c r="N50" s="75">
        <f t="shared" si="17"/>
        <v>16148.05</v>
      </c>
      <c r="O50" s="75">
        <f t="shared" si="17"/>
        <v>16148.05</v>
      </c>
      <c r="P50" s="75">
        <f t="shared" si="17"/>
        <v>16148.05</v>
      </c>
      <c r="S50" s="119"/>
    </row>
    <row r="51" spans="1:19" s="7" customFormat="1" ht="63" customHeight="1">
      <c r="A51" s="24" t="s">
        <v>177</v>
      </c>
      <c r="B51" s="25" t="s">
        <v>178</v>
      </c>
      <c r="C51" s="26" t="s">
        <v>179</v>
      </c>
      <c r="D51" s="27">
        <v>0</v>
      </c>
      <c r="E51" s="27">
        <v>0</v>
      </c>
      <c r="F51" s="27">
        <v>0</v>
      </c>
      <c r="G51" s="27">
        <f t="shared" ref="G51:P51" si="18">G52</f>
        <v>8472</v>
      </c>
      <c r="H51" s="27">
        <f t="shared" si="18"/>
        <v>5648</v>
      </c>
      <c r="I51" s="27">
        <f>H51/8*12</f>
        <v>8472</v>
      </c>
      <c r="J51" s="47">
        <f t="shared" si="18"/>
        <v>64592.2</v>
      </c>
      <c r="K51" s="97">
        <f t="shared" si="18"/>
        <v>58000</v>
      </c>
      <c r="L51" s="98">
        <f t="shared" si="18"/>
        <v>58000</v>
      </c>
      <c r="M51" s="75">
        <f t="shared" si="18"/>
        <v>16148.05</v>
      </c>
      <c r="N51" s="75">
        <f t="shared" si="18"/>
        <v>16148.05</v>
      </c>
      <c r="O51" s="75">
        <f t="shared" si="18"/>
        <v>16148.05</v>
      </c>
      <c r="P51" s="75">
        <f t="shared" si="18"/>
        <v>16148.05</v>
      </c>
      <c r="S51" s="119"/>
    </row>
    <row r="52" spans="1:19" s="7" customFormat="1" ht="57" customHeight="1">
      <c r="A52" s="24" t="s">
        <v>180</v>
      </c>
      <c r="B52" s="25" t="s">
        <v>181</v>
      </c>
      <c r="C52" s="26" t="s">
        <v>182</v>
      </c>
      <c r="D52" s="53">
        <f>D53+D57</f>
        <v>793.5</v>
      </c>
      <c r="E52" s="53">
        <f>E53+E57</f>
        <v>524.20000000000005</v>
      </c>
      <c r="F52" s="53">
        <f>F53+F57</f>
        <v>793.5</v>
      </c>
      <c r="G52" s="27">
        <v>8472</v>
      </c>
      <c r="H52" s="27">
        <v>5648</v>
      </c>
      <c r="I52" s="27">
        <f>H52/8*12</f>
        <v>8472</v>
      </c>
      <c r="J52" s="47">
        <v>64592.2</v>
      </c>
      <c r="K52" s="99">
        <v>58000</v>
      </c>
      <c r="L52" s="100">
        <v>58000</v>
      </c>
      <c r="M52" s="75">
        <f>J52/4</f>
        <v>16148.05</v>
      </c>
      <c r="N52" s="75">
        <f>J52/4</f>
        <v>16148.05</v>
      </c>
      <c r="O52" s="75">
        <f>J52/4</f>
        <v>16148.05</v>
      </c>
      <c r="P52" s="75">
        <f>J52/4</f>
        <v>16148.05</v>
      </c>
      <c r="S52" s="119"/>
    </row>
    <row r="53" spans="1:19" s="7" customFormat="1" ht="53.25" hidden="1" customHeight="1">
      <c r="A53" s="20">
        <v>6</v>
      </c>
      <c r="B53" s="21" t="s">
        <v>183</v>
      </c>
      <c r="C53" s="22" t="s">
        <v>184</v>
      </c>
      <c r="D53" s="50">
        <f>D54</f>
        <v>565.4</v>
      </c>
      <c r="E53" s="50">
        <f t="shared" ref="E53:L54" si="19">E54</f>
        <v>410.1</v>
      </c>
      <c r="F53" s="50">
        <f t="shared" si="19"/>
        <v>565.4</v>
      </c>
      <c r="G53" s="23">
        <f t="shared" si="19"/>
        <v>11982.7</v>
      </c>
      <c r="H53" s="23">
        <f t="shared" si="19"/>
        <v>0</v>
      </c>
      <c r="I53" s="23">
        <f t="shared" si="19"/>
        <v>9982.7000000000007</v>
      </c>
      <c r="J53" s="69">
        <f t="shared" si="19"/>
        <v>0</v>
      </c>
      <c r="K53" s="86">
        <f t="shared" si="19"/>
        <v>0</v>
      </c>
      <c r="L53" s="87">
        <f t="shared" si="19"/>
        <v>0</v>
      </c>
      <c r="M53" s="72">
        <v>0</v>
      </c>
      <c r="N53" s="72">
        <v>0</v>
      </c>
      <c r="O53" s="72">
        <v>0</v>
      </c>
      <c r="P53" s="72">
        <v>0</v>
      </c>
      <c r="S53" s="119"/>
    </row>
    <row r="54" spans="1:19" s="2" customFormat="1" hidden="1">
      <c r="A54" s="54" t="s">
        <v>185</v>
      </c>
      <c r="B54" s="55" t="s">
        <v>186</v>
      </c>
      <c r="C54" s="56" t="s">
        <v>187</v>
      </c>
      <c r="D54" s="35">
        <f>D55+D56</f>
        <v>565.4</v>
      </c>
      <c r="E54" s="35">
        <f>E55+E56</f>
        <v>410.1</v>
      </c>
      <c r="F54" s="35">
        <f>F55+F56</f>
        <v>565.4</v>
      </c>
      <c r="G54" s="35">
        <f t="shared" si="19"/>
        <v>11982.7</v>
      </c>
      <c r="H54" s="35">
        <f t="shared" si="19"/>
        <v>0</v>
      </c>
      <c r="I54" s="35">
        <f t="shared" si="19"/>
        <v>9982.7000000000007</v>
      </c>
      <c r="J54" s="101">
        <f t="shared" si="19"/>
        <v>0</v>
      </c>
      <c r="K54" s="102">
        <f t="shared" si="19"/>
        <v>0</v>
      </c>
      <c r="L54" s="103">
        <f t="shared" si="19"/>
        <v>0</v>
      </c>
      <c r="M54" s="75">
        <v>0</v>
      </c>
      <c r="N54" s="75">
        <v>0</v>
      </c>
      <c r="O54" s="75">
        <v>0</v>
      </c>
      <c r="P54" s="75">
        <v>0</v>
      </c>
      <c r="S54" s="118"/>
    </row>
    <row r="55" spans="1:19" ht="53.25" hidden="1" customHeight="1">
      <c r="A55" s="24" t="s">
        <v>188</v>
      </c>
      <c r="B55" s="25" t="s">
        <v>189</v>
      </c>
      <c r="C55" s="26" t="s">
        <v>190</v>
      </c>
      <c r="D55" s="27">
        <v>552.70000000000005</v>
      </c>
      <c r="E55" s="27">
        <v>410.1</v>
      </c>
      <c r="F55" s="27">
        <v>552.70000000000005</v>
      </c>
      <c r="G55" s="35">
        <v>11982.7</v>
      </c>
      <c r="H55" s="35">
        <v>0</v>
      </c>
      <c r="I55" s="27">
        <v>9982.7000000000007</v>
      </c>
      <c r="J55" s="101">
        <v>0</v>
      </c>
      <c r="K55" s="104"/>
      <c r="L55" s="105"/>
      <c r="M55" s="75">
        <v>0</v>
      </c>
      <c r="N55" s="75">
        <v>0</v>
      </c>
      <c r="O55" s="75">
        <v>0</v>
      </c>
      <c r="P55" s="75">
        <v>0</v>
      </c>
    </row>
    <row r="56" spans="1:19" ht="42" customHeight="1">
      <c r="A56" s="20">
        <v>7</v>
      </c>
      <c r="B56" s="21" t="s">
        <v>191</v>
      </c>
      <c r="C56" s="22" t="s">
        <v>192</v>
      </c>
      <c r="D56" s="50">
        <v>12.7</v>
      </c>
      <c r="E56" s="50">
        <v>0</v>
      </c>
      <c r="F56" s="50">
        <v>12.7</v>
      </c>
      <c r="G56" s="23">
        <f t="shared" ref="G56:P56" si="20">G57+G61</f>
        <v>1548.1</v>
      </c>
      <c r="H56" s="23">
        <f t="shared" si="20"/>
        <v>815.3</v>
      </c>
      <c r="I56" s="23">
        <f t="shared" si="20"/>
        <v>1115.0999999999999</v>
      </c>
      <c r="J56" s="69">
        <f t="shared" si="20"/>
        <v>1530.7</v>
      </c>
      <c r="K56" s="86">
        <f t="shared" si="20"/>
        <v>2474.1999999999998</v>
      </c>
      <c r="L56" s="87">
        <f t="shared" si="20"/>
        <v>2616</v>
      </c>
      <c r="M56" s="72">
        <f t="shared" si="20"/>
        <v>382.67500000000001</v>
      </c>
      <c r="N56" s="72">
        <f t="shared" si="20"/>
        <v>382.67500000000001</v>
      </c>
      <c r="O56" s="72">
        <f t="shared" si="20"/>
        <v>382.67500000000001</v>
      </c>
      <c r="P56" s="72">
        <f t="shared" si="20"/>
        <v>382.67500000000001</v>
      </c>
    </row>
    <row r="57" spans="1:19" ht="43.5" customHeight="1">
      <c r="A57" s="39" t="s">
        <v>193</v>
      </c>
      <c r="B57" s="40" t="s">
        <v>194</v>
      </c>
      <c r="C57" s="41" t="s">
        <v>195</v>
      </c>
      <c r="D57" s="49">
        <f>D59</f>
        <v>228.1</v>
      </c>
      <c r="E57" s="49">
        <f>E59</f>
        <v>114.1</v>
      </c>
      <c r="F57" s="49">
        <f>F59</f>
        <v>228.1</v>
      </c>
      <c r="G57" s="35">
        <f t="shared" ref="G57:P57" si="21">G58</f>
        <v>662.2</v>
      </c>
      <c r="H57" s="35">
        <f t="shared" si="21"/>
        <v>485.4</v>
      </c>
      <c r="I57" s="27">
        <f>H57/8*12</f>
        <v>728.1</v>
      </c>
      <c r="J57" s="101">
        <f t="shared" si="21"/>
        <v>804.2</v>
      </c>
      <c r="K57" s="102">
        <f t="shared" si="21"/>
        <v>740.1</v>
      </c>
      <c r="L57" s="103">
        <f t="shared" si="21"/>
        <v>780.8</v>
      </c>
      <c r="M57" s="75">
        <f t="shared" si="21"/>
        <v>201.05</v>
      </c>
      <c r="N57" s="75">
        <f t="shared" si="21"/>
        <v>201.05</v>
      </c>
      <c r="O57" s="75">
        <f t="shared" si="21"/>
        <v>201.05</v>
      </c>
      <c r="P57" s="75">
        <f t="shared" si="21"/>
        <v>201.05</v>
      </c>
    </row>
    <row r="58" spans="1:19" ht="65.099999999999994" customHeight="1">
      <c r="A58" s="39" t="s">
        <v>196</v>
      </c>
      <c r="B58" s="40" t="s">
        <v>197</v>
      </c>
      <c r="C58" s="41" t="s">
        <v>198</v>
      </c>
      <c r="D58" s="27">
        <v>228.1</v>
      </c>
      <c r="E58" s="27">
        <v>114.1</v>
      </c>
      <c r="F58" s="27">
        <v>228.1</v>
      </c>
      <c r="G58" s="35">
        <f t="shared" ref="G58:L58" si="22">G59+G60</f>
        <v>662.2</v>
      </c>
      <c r="H58" s="35">
        <f t="shared" si="22"/>
        <v>485.4</v>
      </c>
      <c r="I58" s="35">
        <f t="shared" si="22"/>
        <v>662.2</v>
      </c>
      <c r="J58" s="101">
        <f>J59</f>
        <v>804.2</v>
      </c>
      <c r="K58" s="106">
        <f t="shared" si="22"/>
        <v>740.1</v>
      </c>
      <c r="L58" s="107">
        <f t="shared" si="22"/>
        <v>780.8</v>
      </c>
      <c r="M58" s="75">
        <f>J58/4</f>
        <v>201.05</v>
      </c>
      <c r="N58" s="75">
        <f>J58/4</f>
        <v>201.05</v>
      </c>
      <c r="O58" s="75">
        <f>J58/4</f>
        <v>201.05</v>
      </c>
      <c r="P58" s="75">
        <f>J58/4</f>
        <v>201.05</v>
      </c>
    </row>
    <row r="59" spans="1:19" ht="68.25" customHeight="1">
      <c r="A59" s="24" t="s">
        <v>199</v>
      </c>
      <c r="B59" s="25" t="s">
        <v>200</v>
      </c>
      <c r="C59" s="57" t="s">
        <v>201</v>
      </c>
      <c r="D59" s="27">
        <v>228.1</v>
      </c>
      <c r="E59" s="27">
        <v>114.1</v>
      </c>
      <c r="F59" s="27">
        <v>228.1</v>
      </c>
      <c r="G59" s="35">
        <v>657.2</v>
      </c>
      <c r="H59" s="27">
        <v>485.4</v>
      </c>
      <c r="I59" s="27">
        <v>657.2</v>
      </c>
      <c r="J59" s="47">
        <v>804.2</v>
      </c>
      <c r="K59" s="89">
        <v>740.1</v>
      </c>
      <c r="L59" s="90">
        <v>780.8</v>
      </c>
      <c r="M59" s="75">
        <f>J59/4</f>
        <v>201.05</v>
      </c>
      <c r="N59" s="75">
        <f>J59/4</f>
        <v>201.05</v>
      </c>
      <c r="O59" s="75">
        <f>J59/4</f>
        <v>201.05</v>
      </c>
      <c r="P59" s="75">
        <f>J59/4</f>
        <v>201.05</v>
      </c>
    </row>
    <row r="60" spans="1:19" ht="93" customHeight="1">
      <c r="A60" s="24" t="s">
        <v>202</v>
      </c>
      <c r="B60" s="25" t="s">
        <v>203</v>
      </c>
      <c r="C60" s="57" t="s">
        <v>204</v>
      </c>
      <c r="D60" s="27">
        <v>228.1</v>
      </c>
      <c r="E60" s="27">
        <v>114.1</v>
      </c>
      <c r="F60" s="27">
        <v>228.1</v>
      </c>
      <c r="G60" s="27">
        <v>5</v>
      </c>
      <c r="H60" s="27"/>
      <c r="I60" s="27">
        <v>5</v>
      </c>
      <c r="J60" s="47">
        <v>5.9</v>
      </c>
      <c r="K60" s="108"/>
      <c r="L60" s="109"/>
      <c r="M60" s="75">
        <f>J60/4</f>
        <v>1.4750000000000001</v>
      </c>
      <c r="N60" s="75">
        <f>J60/4</f>
        <v>1.4750000000000001</v>
      </c>
      <c r="O60" s="75">
        <f>J60/4</f>
        <v>1.4750000000000001</v>
      </c>
      <c r="P60" s="75">
        <f>J60/4</f>
        <v>1.4750000000000001</v>
      </c>
    </row>
    <row r="61" spans="1:19" ht="52.5" customHeight="1">
      <c r="A61" s="24" t="s">
        <v>205</v>
      </c>
      <c r="B61" s="25" t="s">
        <v>206</v>
      </c>
      <c r="C61" s="57" t="s">
        <v>207</v>
      </c>
      <c r="D61" s="47" t="e">
        <f>D9+D44</f>
        <v>#REF!</v>
      </c>
      <c r="E61" s="47" t="e">
        <f>E9+E44</f>
        <v>#REF!</v>
      </c>
      <c r="F61" s="47" t="e">
        <f>F9+F44</f>
        <v>#REF!</v>
      </c>
      <c r="G61" s="27">
        <f t="shared" ref="G61:P61" si="23">G63+G64</f>
        <v>885.9</v>
      </c>
      <c r="H61" s="27">
        <f t="shared" si="23"/>
        <v>329.9</v>
      </c>
      <c r="I61" s="27">
        <f t="shared" si="23"/>
        <v>387</v>
      </c>
      <c r="J61" s="47">
        <f t="shared" si="23"/>
        <v>726.5</v>
      </c>
      <c r="K61" s="110">
        <f t="shared" si="23"/>
        <v>1734.1</v>
      </c>
      <c r="L61" s="111">
        <f t="shared" si="23"/>
        <v>1835.2</v>
      </c>
      <c r="M61" s="75">
        <f t="shared" si="23"/>
        <v>181.625</v>
      </c>
      <c r="N61" s="75">
        <f t="shared" si="23"/>
        <v>181.625</v>
      </c>
      <c r="O61" s="75">
        <f t="shared" si="23"/>
        <v>181.625</v>
      </c>
      <c r="P61" s="75">
        <f t="shared" si="23"/>
        <v>181.625</v>
      </c>
    </row>
    <row r="62" spans="1:19" ht="63.75">
      <c r="A62" s="24" t="s">
        <v>208</v>
      </c>
      <c r="B62" s="25" t="s">
        <v>209</v>
      </c>
      <c r="C62" s="57" t="s">
        <v>210</v>
      </c>
      <c r="D62" s="58">
        <v>30381.3</v>
      </c>
      <c r="E62" s="58">
        <f>[1]ведомст.структ!I79</f>
        <v>20086.600000000002</v>
      </c>
      <c r="F62" s="58">
        <f>[1]ведомст.структ!J79</f>
        <v>30141.100000000002</v>
      </c>
      <c r="G62" s="59">
        <f t="shared" ref="G62:P62" si="24">G63+G64</f>
        <v>885.9</v>
      </c>
      <c r="H62" s="59">
        <f t="shared" si="24"/>
        <v>329.9</v>
      </c>
      <c r="I62" s="59">
        <f t="shared" si="24"/>
        <v>387</v>
      </c>
      <c r="J62" s="101">
        <f t="shared" si="24"/>
        <v>726.5</v>
      </c>
      <c r="K62" s="112">
        <f t="shared" si="24"/>
        <v>1734.1</v>
      </c>
      <c r="L62" s="113">
        <f t="shared" si="24"/>
        <v>1835.2</v>
      </c>
      <c r="M62" s="75">
        <f t="shared" si="24"/>
        <v>181.625</v>
      </c>
      <c r="N62" s="75">
        <f t="shared" si="24"/>
        <v>181.625</v>
      </c>
      <c r="O62" s="75">
        <f t="shared" si="24"/>
        <v>181.625</v>
      </c>
      <c r="P62" s="75">
        <f t="shared" si="24"/>
        <v>181.625</v>
      </c>
    </row>
    <row r="63" spans="1:19" ht="45" customHeight="1">
      <c r="A63" s="24" t="s">
        <v>211</v>
      </c>
      <c r="B63" s="25" t="s">
        <v>212</v>
      </c>
      <c r="C63" s="26" t="s">
        <v>213</v>
      </c>
      <c r="D63" s="49" t="e">
        <f>D61-D62</f>
        <v>#REF!</v>
      </c>
      <c r="E63" s="49" t="e">
        <f>E61-E62</f>
        <v>#REF!</v>
      </c>
      <c r="F63" s="49" t="e">
        <f>F61-F62</f>
        <v>#REF!</v>
      </c>
      <c r="G63" s="27">
        <v>602.4</v>
      </c>
      <c r="H63" s="27">
        <v>258</v>
      </c>
      <c r="I63" s="27">
        <f>H63/8*12</f>
        <v>387</v>
      </c>
      <c r="J63" s="47">
        <v>726.5</v>
      </c>
      <c r="K63" s="114">
        <v>1155.3</v>
      </c>
      <c r="L63" s="90">
        <v>1218.8</v>
      </c>
      <c r="M63" s="75">
        <f>J63/4</f>
        <v>181.625</v>
      </c>
      <c r="N63" s="75">
        <f>J63/4</f>
        <v>181.625</v>
      </c>
      <c r="O63" s="75">
        <f>J63/4</f>
        <v>181.625</v>
      </c>
      <c r="P63" s="75">
        <f>J63/4</f>
        <v>181.625</v>
      </c>
    </row>
    <row r="64" spans="1:19" ht="46.5" customHeight="1">
      <c r="A64" s="24" t="s">
        <v>214</v>
      </c>
      <c r="B64" s="25" t="s">
        <v>215</v>
      </c>
      <c r="C64" s="26" t="s">
        <v>216</v>
      </c>
      <c r="D64" s="28"/>
      <c r="E64" s="60"/>
      <c r="F64" s="60"/>
      <c r="G64" s="27">
        <v>283.5</v>
      </c>
      <c r="H64" s="27">
        <v>71.900000000000006</v>
      </c>
      <c r="I64" s="27"/>
      <c r="J64" s="47">
        <v>0</v>
      </c>
      <c r="K64" s="114">
        <v>578.79999999999995</v>
      </c>
      <c r="L64" s="90">
        <v>616.4</v>
      </c>
      <c r="M64" s="75">
        <f>J64/4</f>
        <v>0</v>
      </c>
      <c r="N64" s="75">
        <f>J64/4</f>
        <v>0</v>
      </c>
      <c r="O64" s="75">
        <f>J64/4</f>
        <v>0</v>
      </c>
      <c r="P64" s="75">
        <f>J64/4</f>
        <v>0</v>
      </c>
    </row>
    <row r="65" spans="1:16" ht="18.75">
      <c r="A65" s="14"/>
      <c r="B65" s="122"/>
      <c r="C65" s="123" t="s">
        <v>217</v>
      </c>
      <c r="D65" s="58" t="e">
        <f>D61-D44</f>
        <v>#REF!</v>
      </c>
      <c r="E65" s="58" t="e">
        <f>E61-E44</f>
        <v>#REF!</v>
      </c>
      <c r="F65" s="58" t="e">
        <f>F61-F44</f>
        <v>#REF!</v>
      </c>
      <c r="G65" s="58">
        <f t="shared" ref="G65:P65" si="25">G9+G48</f>
        <v>51728.2</v>
      </c>
      <c r="H65" s="58">
        <f t="shared" si="25"/>
        <v>23927.7</v>
      </c>
      <c r="I65" s="58">
        <f t="shared" si="25"/>
        <v>48661.7</v>
      </c>
      <c r="J65" s="58">
        <f t="shared" si="25"/>
        <v>92568.5</v>
      </c>
      <c r="K65" s="134">
        <f t="shared" si="25"/>
        <v>87828.79</v>
      </c>
      <c r="L65" s="135">
        <f t="shared" si="25"/>
        <v>89475.092449999996</v>
      </c>
      <c r="M65" s="78">
        <f t="shared" si="25"/>
        <v>25029.891666666699</v>
      </c>
      <c r="N65" s="78">
        <f t="shared" si="25"/>
        <v>25029.891666666699</v>
      </c>
      <c r="O65" s="78">
        <f t="shared" si="25"/>
        <v>25029.891666666699</v>
      </c>
      <c r="P65" s="78">
        <f t="shared" si="25"/>
        <v>16664.224999999999</v>
      </c>
    </row>
    <row r="66" spans="1:16" ht="18.75" hidden="1">
      <c r="A66" s="124"/>
      <c r="B66" s="125"/>
      <c r="C66" s="126" t="s">
        <v>218</v>
      </c>
      <c r="G66" s="127" t="e">
        <f>#REF!</f>
        <v>#REF!</v>
      </c>
      <c r="H66" s="127" t="e">
        <f>#REF!</f>
        <v>#REF!</v>
      </c>
      <c r="I66" s="127" t="e">
        <f>#REF!</f>
        <v>#REF!</v>
      </c>
      <c r="J66" s="127" t="e">
        <f>#REF!</f>
        <v>#REF!</v>
      </c>
      <c r="K66" s="127" t="e">
        <f>#REF!</f>
        <v>#REF!</v>
      </c>
      <c r="L66" s="127" t="e">
        <f>#REF!</f>
        <v>#REF!</v>
      </c>
    </row>
    <row r="67" spans="1:16" ht="18.75" hidden="1">
      <c r="A67" s="124"/>
      <c r="B67" s="125"/>
      <c r="C67" s="128" t="s">
        <v>219</v>
      </c>
      <c r="G67" s="129" t="e">
        <f t="shared" ref="G67:L67" si="26">G65-G66</f>
        <v>#REF!</v>
      </c>
      <c r="H67" s="129" t="e">
        <f t="shared" si="26"/>
        <v>#REF!</v>
      </c>
      <c r="I67" s="129" t="e">
        <f t="shared" si="26"/>
        <v>#REF!</v>
      </c>
      <c r="J67" s="129" t="e">
        <f t="shared" si="26"/>
        <v>#REF!</v>
      </c>
      <c r="K67" s="129" t="e">
        <f t="shared" si="26"/>
        <v>#REF!</v>
      </c>
      <c r="L67" s="129" t="e">
        <f t="shared" si="26"/>
        <v>#REF!</v>
      </c>
    </row>
    <row r="68" spans="1:16" hidden="1">
      <c r="A68" s="130"/>
    </row>
    <row r="69" spans="1:16" ht="18.75" hidden="1">
      <c r="A69" s="131"/>
      <c r="B69" s="132" t="s">
        <v>220</v>
      </c>
      <c r="C69" s="132"/>
      <c r="G69" s="133">
        <f t="shared" ref="G69:L69" si="27">G65-G48</f>
        <v>29725.4</v>
      </c>
      <c r="H69" s="133">
        <f t="shared" si="27"/>
        <v>17464.400000000001</v>
      </c>
      <c r="I69" s="133">
        <f t="shared" si="27"/>
        <v>29091.9</v>
      </c>
      <c r="J69" s="133">
        <f t="shared" si="27"/>
        <v>26445.599999999999</v>
      </c>
      <c r="K69" s="133">
        <f t="shared" si="27"/>
        <v>27354.59</v>
      </c>
      <c r="L69" s="133">
        <f t="shared" si="27"/>
        <v>28859.09245</v>
      </c>
    </row>
    <row r="70" spans="1:16" hidden="1"/>
    <row r="71" spans="1:16" hidden="1"/>
    <row r="72" spans="1:16" hidden="1">
      <c r="J72">
        <f>J65-J56</f>
        <v>91037.8</v>
      </c>
    </row>
    <row r="73" spans="1:16" hidden="1">
      <c r="J73">
        <f>J72*0.31</f>
        <v>28221.718000000001</v>
      </c>
    </row>
    <row r="74" spans="1:16" hidden="1"/>
    <row r="75" spans="1:16" hidden="1"/>
    <row r="77" spans="1:16">
      <c r="P77" s="136"/>
    </row>
  </sheetData>
  <mergeCells count="5">
    <mergeCell ref="C1:P1"/>
    <mergeCell ref="C4:P4"/>
    <mergeCell ref="A5:P5"/>
    <mergeCell ref="A6:P6"/>
    <mergeCell ref="O7:P7"/>
  </mergeCells>
  <pageMargins left="0.59055118110236204" right="0.39370078740157499" top="0.39370078740157499" bottom="0.39370078740157499" header="0" footer="0"/>
  <pageSetup paperSize="9" scale="70" fitToHeight="6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3"/>
  <sheetViews>
    <sheetView workbookViewId="0">
      <selection activeCell="H7" sqref="H7"/>
    </sheetView>
  </sheetViews>
  <sheetFormatPr defaultColWidth="9.140625" defaultRowHeight="12.75"/>
  <cols>
    <col min="1" max="1" width="36.7109375" style="223" customWidth="1"/>
    <col min="2" max="2" width="11.28515625" style="222" customWidth="1"/>
    <col min="3" max="3" width="13.28515625" style="224" customWidth="1"/>
    <col min="4" max="4" width="9" style="224" customWidth="1"/>
    <col min="5" max="5" width="15.42578125" customWidth="1"/>
    <col min="9" max="9" width="10.140625" customWidth="1"/>
  </cols>
  <sheetData>
    <row r="1" spans="1:12" ht="16.5">
      <c r="B1" s="403"/>
      <c r="C1" s="412" t="s">
        <v>551</v>
      </c>
      <c r="D1" s="412"/>
      <c r="E1" s="412"/>
    </row>
    <row r="2" spans="1:12" ht="16.5">
      <c r="B2" s="403"/>
      <c r="C2" s="412" t="s">
        <v>548</v>
      </c>
      <c r="D2" s="412"/>
      <c r="E2" s="412"/>
    </row>
    <row r="3" spans="1:12" ht="15">
      <c r="B3" s="412" t="s">
        <v>549</v>
      </c>
      <c r="C3" s="412"/>
      <c r="D3" s="412"/>
      <c r="E3" s="412"/>
    </row>
    <row r="4" spans="1:12" ht="16.5">
      <c r="B4" s="403"/>
      <c r="C4" s="412" t="s">
        <v>566</v>
      </c>
      <c r="D4" s="412"/>
      <c r="E4" s="412"/>
    </row>
    <row r="6" spans="1:12" ht="12.75" customHeight="1">
      <c r="A6" s="411" t="s">
        <v>552</v>
      </c>
      <c r="B6" s="411"/>
      <c r="C6" s="411"/>
      <c r="D6" s="411"/>
      <c r="E6" s="411"/>
    </row>
    <row r="7" spans="1:12" ht="75" customHeight="1">
      <c r="A7" s="411"/>
      <c r="B7" s="411"/>
      <c r="C7" s="411"/>
      <c r="D7" s="411"/>
      <c r="E7" s="411"/>
    </row>
    <row r="8" spans="1:12" ht="7.5" customHeight="1">
      <c r="A8" s="228"/>
      <c r="B8" s="227"/>
      <c r="C8" s="227"/>
      <c r="D8" s="230"/>
      <c r="E8" s="3"/>
    </row>
    <row r="9" spans="1:12" ht="43.9" customHeight="1">
      <c r="A9" s="354" t="s">
        <v>221</v>
      </c>
      <c r="B9" s="234" t="s">
        <v>222</v>
      </c>
      <c r="C9" s="234" t="s">
        <v>274</v>
      </c>
      <c r="D9" s="234" t="s">
        <v>275</v>
      </c>
      <c r="E9" s="370" t="s">
        <v>498</v>
      </c>
    </row>
    <row r="10" spans="1:12" ht="30" customHeight="1">
      <c r="A10" s="380" t="s">
        <v>226</v>
      </c>
      <c r="B10" s="236" t="s">
        <v>227</v>
      </c>
      <c r="C10" s="236"/>
      <c r="D10" s="236"/>
      <c r="E10" s="262">
        <f>E11+E15+E27+E45</f>
        <v>34801.200000000004</v>
      </c>
    </row>
    <row r="11" spans="1:12" ht="43.5" customHeight="1">
      <c r="A11" s="355" t="s">
        <v>507</v>
      </c>
      <c r="B11" s="238" t="s">
        <v>229</v>
      </c>
      <c r="C11" s="356"/>
      <c r="D11" s="356"/>
      <c r="E11" s="256">
        <f>E12</f>
        <v>1495.2</v>
      </c>
      <c r="H11" s="136"/>
    </row>
    <row r="12" spans="1:12" ht="26.25" customHeight="1">
      <c r="A12" s="271" t="s">
        <v>276</v>
      </c>
      <c r="B12" s="240" t="s">
        <v>229</v>
      </c>
      <c r="C12" s="240" t="s">
        <v>277</v>
      </c>
      <c r="D12" s="240"/>
      <c r="E12" s="257">
        <f>E13</f>
        <v>1495.2</v>
      </c>
    </row>
    <row r="13" spans="1:12" ht="70.5" customHeight="1">
      <c r="A13" s="273" t="s">
        <v>278</v>
      </c>
      <c r="B13" s="242" t="s">
        <v>229</v>
      </c>
      <c r="C13" s="242" t="s">
        <v>277</v>
      </c>
      <c r="D13" s="242" t="s">
        <v>279</v>
      </c>
      <c r="E13" s="258">
        <f>E14</f>
        <v>1495.2</v>
      </c>
      <c r="I13" s="136"/>
      <c r="J13" s="136"/>
      <c r="L13" s="136"/>
    </row>
    <row r="14" spans="1:12" ht="30.75" customHeight="1">
      <c r="A14" s="273" t="s">
        <v>280</v>
      </c>
      <c r="B14" s="242" t="s">
        <v>229</v>
      </c>
      <c r="C14" s="242" t="s">
        <v>277</v>
      </c>
      <c r="D14" s="242" t="s">
        <v>281</v>
      </c>
      <c r="E14" s="264">
        <v>1495.2</v>
      </c>
    </row>
    <row r="15" spans="1:12" ht="54.75" customHeight="1">
      <c r="A15" s="271" t="s">
        <v>508</v>
      </c>
      <c r="B15" s="240" t="s">
        <v>231</v>
      </c>
      <c r="C15" s="240"/>
      <c r="D15" s="240"/>
      <c r="E15" s="257">
        <f>E24+E17</f>
        <v>2716.3</v>
      </c>
    </row>
    <row r="16" spans="1:12" ht="44.25" customHeight="1">
      <c r="A16" s="357" t="s">
        <v>282</v>
      </c>
      <c r="B16" s="244" t="s">
        <v>231</v>
      </c>
      <c r="C16" s="240" t="s">
        <v>283</v>
      </c>
      <c r="D16" s="244"/>
      <c r="E16" s="276">
        <f>E17+E24</f>
        <v>2716.3</v>
      </c>
    </row>
    <row r="17" spans="1:7" ht="34.5" customHeight="1">
      <c r="A17" s="271" t="s">
        <v>284</v>
      </c>
      <c r="B17" s="240" t="s">
        <v>231</v>
      </c>
      <c r="C17" s="240" t="s">
        <v>285</v>
      </c>
      <c r="D17" s="240"/>
      <c r="E17" s="257">
        <f>E19+E21+E22</f>
        <v>2557.9</v>
      </c>
    </row>
    <row r="18" spans="1:7" ht="74.25" customHeight="1">
      <c r="A18" s="272" t="s">
        <v>286</v>
      </c>
      <c r="B18" s="242" t="s">
        <v>231</v>
      </c>
      <c r="C18" s="242" t="s">
        <v>285</v>
      </c>
      <c r="D18" s="242" t="s">
        <v>279</v>
      </c>
      <c r="E18" s="258">
        <f>E19</f>
        <v>1756.8</v>
      </c>
    </row>
    <row r="19" spans="1:7" ht="34.5" customHeight="1">
      <c r="A19" s="272" t="s">
        <v>287</v>
      </c>
      <c r="B19" s="242" t="s">
        <v>231</v>
      </c>
      <c r="C19" s="242" t="s">
        <v>285</v>
      </c>
      <c r="D19" s="242" t="s">
        <v>281</v>
      </c>
      <c r="E19" s="264">
        <v>1756.8</v>
      </c>
    </row>
    <row r="20" spans="1:7" ht="34.5" customHeight="1">
      <c r="A20" s="362" t="s">
        <v>288</v>
      </c>
      <c r="B20" s="242" t="s">
        <v>231</v>
      </c>
      <c r="C20" s="242" t="s">
        <v>285</v>
      </c>
      <c r="D20" s="242" t="s">
        <v>289</v>
      </c>
      <c r="E20" s="258">
        <f>E21</f>
        <v>800</v>
      </c>
    </row>
    <row r="21" spans="1:7" ht="39.75" customHeight="1">
      <c r="A21" s="273" t="s">
        <v>290</v>
      </c>
      <c r="B21" s="242" t="s">
        <v>231</v>
      </c>
      <c r="C21" s="242" t="s">
        <v>285</v>
      </c>
      <c r="D21" s="242" t="s">
        <v>291</v>
      </c>
      <c r="E21" s="258">
        <v>800</v>
      </c>
    </row>
    <row r="22" spans="1:7" ht="33" customHeight="1">
      <c r="A22" s="358" t="s">
        <v>292</v>
      </c>
      <c r="B22" s="242" t="s">
        <v>231</v>
      </c>
      <c r="C22" s="242" t="s">
        <v>285</v>
      </c>
      <c r="D22" s="242" t="s">
        <v>293</v>
      </c>
      <c r="E22" s="258">
        <f>E23</f>
        <v>1.1000000000000001</v>
      </c>
    </row>
    <row r="23" spans="1:7" ht="25.5" customHeight="1">
      <c r="A23" s="273" t="s">
        <v>294</v>
      </c>
      <c r="B23" s="242" t="s">
        <v>231</v>
      </c>
      <c r="C23" s="242" t="s">
        <v>285</v>
      </c>
      <c r="D23" s="242" t="s">
        <v>295</v>
      </c>
      <c r="E23" s="258">
        <v>1.1000000000000001</v>
      </c>
    </row>
    <row r="24" spans="1:7" ht="36.75" customHeight="1">
      <c r="A24" s="357" t="s">
        <v>296</v>
      </c>
      <c r="B24" s="244" t="s">
        <v>231</v>
      </c>
      <c r="C24" s="240" t="s">
        <v>297</v>
      </c>
      <c r="D24" s="244"/>
      <c r="E24" s="257">
        <f>E25</f>
        <v>158.4</v>
      </c>
    </row>
    <row r="25" spans="1:7" ht="66.75" customHeight="1">
      <c r="A25" s="273" t="s">
        <v>278</v>
      </c>
      <c r="B25" s="242" t="s">
        <v>231</v>
      </c>
      <c r="C25" s="242" t="s">
        <v>297</v>
      </c>
      <c r="D25" s="242" t="s">
        <v>279</v>
      </c>
      <c r="E25" s="258">
        <f>E26</f>
        <v>158.4</v>
      </c>
    </row>
    <row r="26" spans="1:7" ht="36.75" customHeight="1">
      <c r="A26" s="273" t="s">
        <v>280</v>
      </c>
      <c r="B26" s="242" t="s">
        <v>231</v>
      </c>
      <c r="C26" s="242" t="s">
        <v>297</v>
      </c>
      <c r="D26" s="242" t="s">
        <v>281</v>
      </c>
      <c r="E26" s="258">
        <v>158.4</v>
      </c>
    </row>
    <row r="27" spans="1:7" ht="69" customHeight="1">
      <c r="A27" s="271" t="s">
        <v>509</v>
      </c>
      <c r="B27" s="240" t="s">
        <v>233</v>
      </c>
      <c r="C27" s="240"/>
      <c r="D27" s="240"/>
      <c r="E27" s="259">
        <f>E29+E39+E36</f>
        <v>29138.3</v>
      </c>
    </row>
    <row r="28" spans="1:7" ht="57" customHeight="1">
      <c r="A28" s="271" t="s">
        <v>298</v>
      </c>
      <c r="B28" s="240" t="s">
        <v>233</v>
      </c>
      <c r="C28" s="240" t="s">
        <v>299</v>
      </c>
      <c r="D28" s="240"/>
      <c r="E28" s="257">
        <f>E29+E36</f>
        <v>27995.399999999998</v>
      </c>
    </row>
    <row r="29" spans="1:7" ht="42.75" customHeight="1">
      <c r="A29" s="359" t="s">
        <v>300</v>
      </c>
      <c r="B29" s="240" t="s">
        <v>233</v>
      </c>
      <c r="C29" s="240" t="s">
        <v>301</v>
      </c>
      <c r="D29" s="240"/>
      <c r="E29" s="257">
        <f>E30+E32+E34</f>
        <v>27674.1</v>
      </c>
    </row>
    <row r="30" spans="1:7" ht="72">
      <c r="A30" s="273" t="s">
        <v>286</v>
      </c>
      <c r="B30" s="242" t="s">
        <v>233</v>
      </c>
      <c r="C30" s="242" t="s">
        <v>301</v>
      </c>
      <c r="D30" s="242" t="s">
        <v>279</v>
      </c>
      <c r="E30" s="263">
        <f>E31</f>
        <v>12065.4</v>
      </c>
      <c r="G30" s="136"/>
    </row>
    <row r="31" spans="1:7" ht="33" customHeight="1">
      <c r="A31" s="273" t="s">
        <v>287</v>
      </c>
      <c r="B31" s="242" t="s">
        <v>233</v>
      </c>
      <c r="C31" s="242" t="s">
        <v>301</v>
      </c>
      <c r="D31" s="242" t="s">
        <v>281</v>
      </c>
      <c r="E31" s="395">
        <v>12065.4</v>
      </c>
    </row>
    <row r="32" spans="1:7" ht="39" customHeight="1">
      <c r="A32" s="272" t="s">
        <v>288</v>
      </c>
      <c r="B32" s="242" t="s">
        <v>233</v>
      </c>
      <c r="C32" s="242" t="s">
        <v>301</v>
      </c>
      <c r="D32" s="242" t="s">
        <v>289</v>
      </c>
      <c r="E32" s="258">
        <f>E33</f>
        <v>15603.7</v>
      </c>
      <c r="G32" s="136"/>
    </row>
    <row r="33" spans="1:5" ht="38.25" customHeight="1">
      <c r="A33" s="273" t="s">
        <v>290</v>
      </c>
      <c r="B33" s="242" t="s">
        <v>233</v>
      </c>
      <c r="C33" s="251" t="s">
        <v>301</v>
      </c>
      <c r="D33" s="242" t="s">
        <v>291</v>
      </c>
      <c r="E33" s="258">
        <v>15603.7</v>
      </c>
    </row>
    <row r="34" spans="1:5" ht="24">
      <c r="A34" s="358" t="s">
        <v>292</v>
      </c>
      <c r="B34" s="242" t="s">
        <v>233</v>
      </c>
      <c r="C34" s="242" t="s">
        <v>301</v>
      </c>
      <c r="D34" s="242" t="s">
        <v>293</v>
      </c>
      <c r="E34" s="258">
        <f>E35</f>
        <v>5</v>
      </c>
    </row>
    <row r="35" spans="1:5" ht="24">
      <c r="A35" s="273" t="s">
        <v>294</v>
      </c>
      <c r="B35" s="242" t="s">
        <v>233</v>
      </c>
      <c r="C35" s="242" t="s">
        <v>301</v>
      </c>
      <c r="D35" s="242" t="s">
        <v>295</v>
      </c>
      <c r="E35" s="258">
        <v>5</v>
      </c>
    </row>
    <row r="36" spans="1:5" ht="24">
      <c r="A36" s="271" t="s">
        <v>302</v>
      </c>
      <c r="B36" s="240" t="s">
        <v>233</v>
      </c>
      <c r="C36" s="240" t="s">
        <v>303</v>
      </c>
      <c r="D36" s="249"/>
      <c r="E36" s="375">
        <f>E37</f>
        <v>321.3</v>
      </c>
    </row>
    <row r="37" spans="1:5" ht="21" customHeight="1">
      <c r="A37" s="360" t="s">
        <v>304</v>
      </c>
      <c r="B37" s="242" t="s">
        <v>233</v>
      </c>
      <c r="C37" s="242" t="s">
        <v>303</v>
      </c>
      <c r="D37" s="249" t="s">
        <v>279</v>
      </c>
      <c r="E37" s="361">
        <f>E38</f>
        <v>321.3</v>
      </c>
    </row>
    <row r="38" spans="1:5" ht="24">
      <c r="A38" s="371" t="s">
        <v>305</v>
      </c>
      <c r="B38" s="242" t="s">
        <v>233</v>
      </c>
      <c r="C38" s="242" t="s">
        <v>303</v>
      </c>
      <c r="D38" s="249" t="s">
        <v>281</v>
      </c>
      <c r="E38" s="361">
        <v>321.3</v>
      </c>
    </row>
    <row r="39" spans="1:5" ht="72" customHeight="1">
      <c r="A39" s="359" t="s">
        <v>306</v>
      </c>
      <c r="B39" s="240" t="s">
        <v>233</v>
      </c>
      <c r="C39" s="248" t="s">
        <v>307</v>
      </c>
      <c r="D39" s="240"/>
      <c r="E39" s="276">
        <f>E40</f>
        <v>1142.9000000000001</v>
      </c>
    </row>
    <row r="40" spans="1:5" ht="45.75" customHeight="1">
      <c r="A40" s="363" t="s">
        <v>308</v>
      </c>
      <c r="B40" s="242" t="s">
        <v>233</v>
      </c>
      <c r="C40" s="249" t="s">
        <v>307</v>
      </c>
      <c r="D40" s="242"/>
      <c r="E40" s="258">
        <f>E41+E43</f>
        <v>1142.9000000000001</v>
      </c>
    </row>
    <row r="41" spans="1:5" ht="72">
      <c r="A41" s="273" t="s">
        <v>286</v>
      </c>
      <c r="B41" s="242" t="s">
        <v>233</v>
      </c>
      <c r="C41" s="249" t="s">
        <v>307</v>
      </c>
      <c r="D41" s="242" t="s">
        <v>279</v>
      </c>
      <c r="E41" s="258">
        <f>E42</f>
        <v>1063.4000000000001</v>
      </c>
    </row>
    <row r="42" spans="1:5" ht="33" customHeight="1">
      <c r="A42" s="273" t="s">
        <v>287</v>
      </c>
      <c r="B42" s="242" t="s">
        <v>233</v>
      </c>
      <c r="C42" s="249" t="s">
        <v>307</v>
      </c>
      <c r="D42" s="242" t="s">
        <v>281</v>
      </c>
      <c r="E42" s="258">
        <v>1063.4000000000001</v>
      </c>
    </row>
    <row r="43" spans="1:5" ht="33" customHeight="1">
      <c r="A43" s="272" t="s">
        <v>288</v>
      </c>
      <c r="B43" s="242" t="s">
        <v>233</v>
      </c>
      <c r="C43" s="249" t="s">
        <v>307</v>
      </c>
      <c r="D43" s="242" t="s">
        <v>289</v>
      </c>
      <c r="E43" s="258">
        <f>E44</f>
        <v>79.5</v>
      </c>
    </row>
    <row r="44" spans="1:5" ht="48">
      <c r="A44" s="273" t="s">
        <v>290</v>
      </c>
      <c r="B44" s="242" t="s">
        <v>233</v>
      </c>
      <c r="C44" s="249" t="s">
        <v>307</v>
      </c>
      <c r="D44" s="242" t="s">
        <v>291</v>
      </c>
      <c r="E44" s="258">
        <v>79.5</v>
      </c>
    </row>
    <row r="45" spans="1:5" ht="33.75" customHeight="1">
      <c r="A45" s="381" t="s">
        <v>226</v>
      </c>
      <c r="B45" s="240" t="s">
        <v>227</v>
      </c>
      <c r="C45" s="242"/>
      <c r="D45" s="242"/>
      <c r="E45" s="257">
        <f>E46+E50</f>
        <v>1451.3999999999999</v>
      </c>
    </row>
    <row r="46" spans="1:5" ht="32.25" customHeight="1">
      <c r="A46" s="359" t="s">
        <v>510</v>
      </c>
      <c r="B46" s="240" t="s">
        <v>237</v>
      </c>
      <c r="C46" s="240"/>
      <c r="D46" s="240"/>
      <c r="E46" s="276">
        <f>E47</f>
        <v>20</v>
      </c>
    </row>
    <row r="47" spans="1:5" ht="23.25" customHeight="1">
      <c r="A47" s="271" t="s">
        <v>313</v>
      </c>
      <c r="B47" s="248" t="s">
        <v>237</v>
      </c>
      <c r="C47" s="248" t="s">
        <v>314</v>
      </c>
      <c r="D47" s="248"/>
      <c r="E47" s="265">
        <f>E49</f>
        <v>20</v>
      </c>
    </row>
    <row r="48" spans="1:5" ht="18" customHeight="1">
      <c r="A48" s="364" t="s">
        <v>292</v>
      </c>
      <c r="B48" s="249" t="s">
        <v>237</v>
      </c>
      <c r="C48" s="249" t="s">
        <v>314</v>
      </c>
      <c r="D48" s="249" t="s">
        <v>293</v>
      </c>
      <c r="E48" s="258">
        <f>E49</f>
        <v>20</v>
      </c>
    </row>
    <row r="49" spans="1:5" ht="21.75" customHeight="1">
      <c r="A49" s="273" t="s">
        <v>315</v>
      </c>
      <c r="B49" s="249" t="s">
        <v>237</v>
      </c>
      <c r="C49" s="249" t="s">
        <v>314</v>
      </c>
      <c r="D49" s="249" t="s">
        <v>316</v>
      </c>
      <c r="E49" s="258">
        <f>'[2]Вед. 2022 (прил 4)'!N62</f>
        <v>20</v>
      </c>
    </row>
    <row r="50" spans="1:5" ht="28.5" customHeight="1">
      <c r="A50" s="359" t="s">
        <v>511</v>
      </c>
      <c r="B50" s="240" t="s">
        <v>239</v>
      </c>
      <c r="C50" s="240"/>
      <c r="D50" s="240"/>
      <c r="E50" s="276">
        <f>E51+E54+E57+E60+E63+E66+E69</f>
        <v>1431.3999999999999</v>
      </c>
    </row>
    <row r="51" spans="1:5" ht="46.5" customHeight="1">
      <c r="A51" s="271" t="s">
        <v>317</v>
      </c>
      <c r="B51" s="240" t="s">
        <v>239</v>
      </c>
      <c r="C51" s="240" t="s">
        <v>318</v>
      </c>
      <c r="D51" s="242"/>
      <c r="E51" s="387">
        <f>E52</f>
        <v>91.4</v>
      </c>
    </row>
    <row r="52" spans="1:5" ht="30" customHeight="1">
      <c r="A52" s="273" t="s">
        <v>311</v>
      </c>
      <c r="B52" s="242" t="s">
        <v>239</v>
      </c>
      <c r="C52" s="242" t="s">
        <v>318</v>
      </c>
      <c r="D52" s="251" t="s">
        <v>289</v>
      </c>
      <c r="E52" s="254">
        <f>E53</f>
        <v>91.4</v>
      </c>
    </row>
    <row r="53" spans="1:5" ht="36">
      <c r="A53" s="273" t="s">
        <v>312</v>
      </c>
      <c r="B53" s="242" t="s">
        <v>239</v>
      </c>
      <c r="C53" s="242" t="s">
        <v>318</v>
      </c>
      <c r="D53" s="253" t="s">
        <v>291</v>
      </c>
      <c r="E53" s="386">
        <v>91.4</v>
      </c>
    </row>
    <row r="54" spans="1:5" ht="34.5" customHeight="1">
      <c r="A54" s="359" t="s">
        <v>534</v>
      </c>
      <c r="B54" s="240" t="s">
        <v>239</v>
      </c>
      <c r="C54" s="240" t="s">
        <v>319</v>
      </c>
      <c r="D54" s="240"/>
      <c r="E54" s="276">
        <f>E56</f>
        <v>632</v>
      </c>
    </row>
    <row r="55" spans="1:5" ht="37.5" customHeight="1">
      <c r="A55" s="272" t="s">
        <v>288</v>
      </c>
      <c r="B55" s="242" t="s">
        <v>239</v>
      </c>
      <c r="C55" s="242" t="s">
        <v>319</v>
      </c>
      <c r="D55" s="242" t="s">
        <v>289</v>
      </c>
      <c r="E55" s="258">
        <f>E56</f>
        <v>632</v>
      </c>
    </row>
    <row r="56" spans="1:5" ht="38.25" customHeight="1">
      <c r="A56" s="273" t="s">
        <v>290</v>
      </c>
      <c r="B56" s="242" t="s">
        <v>239</v>
      </c>
      <c r="C56" s="242" t="s">
        <v>319</v>
      </c>
      <c r="D56" s="242" t="s">
        <v>291</v>
      </c>
      <c r="E56" s="258">
        <v>632</v>
      </c>
    </row>
    <row r="57" spans="1:5" ht="54" customHeight="1">
      <c r="A57" s="359" t="s">
        <v>320</v>
      </c>
      <c r="B57" s="248" t="s">
        <v>239</v>
      </c>
      <c r="C57" s="248" t="s">
        <v>321</v>
      </c>
      <c r="D57" s="248"/>
      <c r="E57" s="276">
        <f>E58</f>
        <v>8.8000000000000007</v>
      </c>
    </row>
    <row r="58" spans="1:5" ht="33.75" customHeight="1">
      <c r="A58" s="272" t="s">
        <v>288</v>
      </c>
      <c r="B58" s="242" t="s">
        <v>239</v>
      </c>
      <c r="C58" s="249" t="s">
        <v>321</v>
      </c>
      <c r="D58" s="242" t="s">
        <v>289</v>
      </c>
      <c r="E58" s="257">
        <f>E59</f>
        <v>8.8000000000000007</v>
      </c>
    </row>
    <row r="59" spans="1:5" ht="39" customHeight="1">
      <c r="A59" s="273" t="s">
        <v>290</v>
      </c>
      <c r="B59" s="242" t="s">
        <v>239</v>
      </c>
      <c r="C59" s="249" t="s">
        <v>321</v>
      </c>
      <c r="D59" s="242" t="s">
        <v>291</v>
      </c>
      <c r="E59" s="258">
        <v>8.8000000000000007</v>
      </c>
    </row>
    <row r="60" spans="1:5" ht="51" customHeight="1">
      <c r="A60" s="359" t="s">
        <v>322</v>
      </c>
      <c r="B60" s="240" t="s">
        <v>239</v>
      </c>
      <c r="C60" s="240" t="s">
        <v>323</v>
      </c>
      <c r="D60" s="240"/>
      <c r="E60" s="276">
        <f>E62</f>
        <v>116</v>
      </c>
    </row>
    <row r="61" spans="1:5" ht="20.25" customHeight="1">
      <c r="A61" s="365" t="s">
        <v>292</v>
      </c>
      <c r="B61" s="242" t="s">
        <v>239</v>
      </c>
      <c r="C61" s="242" t="s">
        <v>323</v>
      </c>
      <c r="D61" s="242" t="s">
        <v>293</v>
      </c>
      <c r="E61" s="258">
        <f>E62</f>
        <v>116</v>
      </c>
    </row>
    <row r="62" spans="1:5" ht="18.75" customHeight="1">
      <c r="A62" s="365" t="s">
        <v>294</v>
      </c>
      <c r="B62" s="242" t="s">
        <v>239</v>
      </c>
      <c r="C62" s="242" t="s">
        <v>323</v>
      </c>
      <c r="D62" s="242" t="s">
        <v>295</v>
      </c>
      <c r="E62" s="264">
        <v>116</v>
      </c>
    </row>
    <row r="63" spans="1:5" ht="63" customHeight="1">
      <c r="A63" s="359" t="s">
        <v>324</v>
      </c>
      <c r="B63" s="240" t="s">
        <v>239</v>
      </c>
      <c r="C63" s="240" t="s">
        <v>325</v>
      </c>
      <c r="D63" s="240"/>
      <c r="E63" s="276">
        <f>E64</f>
        <v>480.4</v>
      </c>
    </row>
    <row r="64" spans="1:5" ht="36" customHeight="1">
      <c r="A64" s="272" t="s">
        <v>288</v>
      </c>
      <c r="B64" s="242" t="s">
        <v>239</v>
      </c>
      <c r="C64" s="242" t="s">
        <v>325</v>
      </c>
      <c r="D64" s="251" t="s">
        <v>289</v>
      </c>
      <c r="E64" s="258">
        <f>E65</f>
        <v>480.4</v>
      </c>
    </row>
    <row r="65" spans="1:5" ht="39" customHeight="1">
      <c r="A65" s="273" t="s">
        <v>290</v>
      </c>
      <c r="B65" s="242" t="s">
        <v>239</v>
      </c>
      <c r="C65" s="242" t="s">
        <v>325</v>
      </c>
      <c r="D65" s="242" t="s">
        <v>291</v>
      </c>
      <c r="E65" s="264">
        <v>480.4</v>
      </c>
    </row>
    <row r="66" spans="1:5" ht="60" customHeight="1">
      <c r="A66" s="359" t="s">
        <v>326</v>
      </c>
      <c r="B66" s="240" t="s">
        <v>239</v>
      </c>
      <c r="C66" s="240" t="s">
        <v>327</v>
      </c>
      <c r="D66" s="240"/>
      <c r="E66" s="276">
        <f>E68</f>
        <v>20</v>
      </c>
    </row>
    <row r="67" spans="1:5" ht="41.25" customHeight="1">
      <c r="A67" s="272" t="s">
        <v>288</v>
      </c>
      <c r="B67" s="242" t="s">
        <v>239</v>
      </c>
      <c r="C67" s="242" t="s">
        <v>327</v>
      </c>
      <c r="D67" s="242" t="s">
        <v>289</v>
      </c>
      <c r="E67" s="258">
        <f>E68</f>
        <v>20</v>
      </c>
    </row>
    <row r="68" spans="1:5" ht="41.25" customHeight="1">
      <c r="A68" s="273" t="s">
        <v>290</v>
      </c>
      <c r="B68" s="242" t="s">
        <v>239</v>
      </c>
      <c r="C68" s="242" t="s">
        <v>327</v>
      </c>
      <c r="D68" s="242" t="s">
        <v>291</v>
      </c>
      <c r="E68" s="258">
        <f>'[2]Вед. 2022 (прил 4)'!N78</f>
        <v>20</v>
      </c>
    </row>
    <row r="69" spans="1:5" ht="41.25" customHeight="1">
      <c r="A69" s="239" t="s">
        <v>529</v>
      </c>
      <c r="B69" s="240" t="s">
        <v>239</v>
      </c>
      <c r="C69" s="240"/>
      <c r="D69" s="242"/>
      <c r="E69" s="388">
        <f>E70+E73+E76+E79</f>
        <v>82.8</v>
      </c>
    </row>
    <row r="70" spans="1:5" ht="79.5" customHeight="1">
      <c r="A70" s="359" t="s">
        <v>535</v>
      </c>
      <c r="B70" s="240" t="s">
        <v>239</v>
      </c>
      <c r="C70" s="240" t="s">
        <v>328</v>
      </c>
      <c r="D70" s="240"/>
      <c r="E70" s="366">
        <f>E72</f>
        <v>14</v>
      </c>
    </row>
    <row r="71" spans="1:5" ht="35.25" customHeight="1">
      <c r="A71" s="272" t="s">
        <v>288</v>
      </c>
      <c r="B71" s="253" t="s">
        <v>239</v>
      </c>
      <c r="C71" s="242" t="s">
        <v>328</v>
      </c>
      <c r="D71" s="253" t="s">
        <v>289</v>
      </c>
      <c r="E71" s="258">
        <f>E72</f>
        <v>14</v>
      </c>
    </row>
    <row r="72" spans="1:5" ht="41.25" customHeight="1">
      <c r="A72" s="273" t="s">
        <v>290</v>
      </c>
      <c r="B72" s="253" t="s">
        <v>239</v>
      </c>
      <c r="C72" s="242" t="s">
        <v>328</v>
      </c>
      <c r="D72" s="253" t="s">
        <v>291</v>
      </c>
      <c r="E72" s="258">
        <v>14</v>
      </c>
    </row>
    <row r="73" spans="1:5" ht="101.25" customHeight="1">
      <c r="A73" s="359" t="s">
        <v>530</v>
      </c>
      <c r="B73" s="240" t="s">
        <v>239</v>
      </c>
      <c r="C73" s="240" t="s">
        <v>499</v>
      </c>
      <c r="D73" s="240"/>
      <c r="E73" s="257">
        <f>E75</f>
        <v>34</v>
      </c>
    </row>
    <row r="74" spans="1:5" ht="35.25" customHeight="1">
      <c r="A74" s="358" t="s">
        <v>288</v>
      </c>
      <c r="B74" s="242" t="s">
        <v>239</v>
      </c>
      <c r="C74" s="242" t="s">
        <v>499</v>
      </c>
      <c r="D74" s="242" t="s">
        <v>289</v>
      </c>
      <c r="E74" s="258">
        <f>E75</f>
        <v>34</v>
      </c>
    </row>
    <row r="75" spans="1:5" ht="39.75" customHeight="1">
      <c r="A75" s="273" t="s">
        <v>290</v>
      </c>
      <c r="B75" s="242" t="s">
        <v>239</v>
      </c>
      <c r="C75" s="242" t="s">
        <v>499</v>
      </c>
      <c r="D75" s="242" t="s">
        <v>291</v>
      </c>
      <c r="E75" s="258">
        <v>34</v>
      </c>
    </row>
    <row r="76" spans="1:5" ht="81" customHeight="1">
      <c r="A76" s="359" t="s">
        <v>554</v>
      </c>
      <c r="B76" s="240" t="s">
        <v>239</v>
      </c>
      <c r="C76" s="240" t="s">
        <v>500</v>
      </c>
      <c r="D76" s="240"/>
      <c r="E76" s="257">
        <f>E78</f>
        <v>0</v>
      </c>
    </row>
    <row r="77" spans="1:5" ht="38.25" customHeight="1">
      <c r="A77" s="358" t="s">
        <v>288</v>
      </c>
      <c r="B77" s="242" t="s">
        <v>239</v>
      </c>
      <c r="C77" s="242" t="s">
        <v>500</v>
      </c>
      <c r="D77" s="242" t="s">
        <v>289</v>
      </c>
      <c r="E77" s="258">
        <f>E78</f>
        <v>0</v>
      </c>
    </row>
    <row r="78" spans="1:5" ht="44.25" customHeight="1">
      <c r="A78" s="273" t="s">
        <v>290</v>
      </c>
      <c r="B78" s="242" t="s">
        <v>239</v>
      </c>
      <c r="C78" s="242" t="s">
        <v>500</v>
      </c>
      <c r="D78" s="242" t="s">
        <v>291</v>
      </c>
      <c r="E78" s="258">
        <v>0</v>
      </c>
    </row>
    <row r="79" spans="1:5" ht="231" customHeight="1">
      <c r="A79" s="376" t="s">
        <v>531</v>
      </c>
      <c r="B79" s="240" t="s">
        <v>239</v>
      </c>
      <c r="C79" s="240" t="s">
        <v>501</v>
      </c>
      <c r="D79" s="240"/>
      <c r="E79" s="257">
        <f>E80</f>
        <v>34.799999999999997</v>
      </c>
    </row>
    <row r="80" spans="1:5" ht="35.25" customHeight="1">
      <c r="A80" s="272" t="s">
        <v>288</v>
      </c>
      <c r="B80" s="242" t="s">
        <v>239</v>
      </c>
      <c r="C80" s="242" t="s">
        <v>501</v>
      </c>
      <c r="D80" s="242" t="s">
        <v>289</v>
      </c>
      <c r="E80" s="258">
        <f>E81</f>
        <v>34.799999999999997</v>
      </c>
    </row>
    <row r="81" spans="1:8" ht="37.5" customHeight="1">
      <c r="A81" s="367" t="s">
        <v>290</v>
      </c>
      <c r="B81" s="242" t="s">
        <v>239</v>
      </c>
      <c r="C81" s="242" t="s">
        <v>501</v>
      </c>
      <c r="D81" s="253" t="s">
        <v>291</v>
      </c>
      <c r="E81" s="260">
        <v>34.799999999999997</v>
      </c>
    </row>
    <row r="82" spans="1:8" ht="32.25" customHeight="1">
      <c r="A82" s="380" t="s">
        <v>512</v>
      </c>
      <c r="B82" s="236" t="s">
        <v>240</v>
      </c>
      <c r="C82" s="236"/>
      <c r="D82" s="236"/>
      <c r="E82" s="262">
        <f>E83</f>
        <v>180</v>
      </c>
    </row>
    <row r="83" spans="1:8" ht="28.5" customHeight="1">
      <c r="A83" s="266" t="s">
        <v>241</v>
      </c>
      <c r="B83" s="238" t="s">
        <v>242</v>
      </c>
      <c r="C83" s="238"/>
      <c r="D83" s="238"/>
      <c r="E83" s="256">
        <f>E85</f>
        <v>180</v>
      </c>
    </row>
    <row r="84" spans="1:8" ht="36" customHeight="1">
      <c r="A84" s="266" t="s">
        <v>529</v>
      </c>
      <c r="B84" s="238" t="s">
        <v>242</v>
      </c>
      <c r="C84" s="238"/>
      <c r="D84" s="238"/>
      <c r="E84" s="256">
        <f>E85</f>
        <v>180</v>
      </c>
    </row>
    <row r="85" spans="1:8" ht="90" customHeight="1">
      <c r="A85" s="247" t="s">
        <v>555</v>
      </c>
      <c r="B85" s="240" t="s">
        <v>242</v>
      </c>
      <c r="C85" s="240" t="s">
        <v>329</v>
      </c>
      <c r="D85" s="240"/>
      <c r="E85" s="257">
        <f>E86</f>
        <v>180</v>
      </c>
    </row>
    <row r="86" spans="1:8" ht="35.25" customHeight="1">
      <c r="A86" s="245" t="s">
        <v>288</v>
      </c>
      <c r="B86" s="242" t="s">
        <v>242</v>
      </c>
      <c r="C86" s="242" t="s">
        <v>329</v>
      </c>
      <c r="D86" s="242" t="s">
        <v>289</v>
      </c>
      <c r="E86" s="258">
        <f>E87</f>
        <v>180</v>
      </c>
    </row>
    <row r="87" spans="1:8" ht="43.5" customHeight="1">
      <c r="A87" s="252" t="s">
        <v>290</v>
      </c>
      <c r="B87" s="253" t="s">
        <v>242</v>
      </c>
      <c r="C87" s="253" t="s">
        <v>329</v>
      </c>
      <c r="D87" s="253" t="s">
        <v>291</v>
      </c>
      <c r="E87" s="260">
        <v>180</v>
      </c>
    </row>
    <row r="88" spans="1:8" ht="27.75" customHeight="1">
      <c r="A88" s="380" t="s">
        <v>513</v>
      </c>
      <c r="B88" s="236" t="s">
        <v>243</v>
      </c>
      <c r="C88" s="236"/>
      <c r="D88" s="236"/>
      <c r="E88" s="262">
        <f>E89+E93+E99</f>
        <v>73866.5</v>
      </c>
    </row>
    <row r="89" spans="1:8" ht="23.25" customHeight="1">
      <c r="A89" s="237" t="s">
        <v>244</v>
      </c>
      <c r="B89" s="238" t="s">
        <v>245</v>
      </c>
      <c r="C89" s="238"/>
      <c r="D89" s="238"/>
      <c r="E89" s="256">
        <f>E90</f>
        <v>318.2</v>
      </c>
    </row>
    <row r="90" spans="1:8" ht="153" customHeight="1">
      <c r="A90" s="377" t="s">
        <v>544</v>
      </c>
      <c r="B90" s="240" t="s">
        <v>245</v>
      </c>
      <c r="C90" s="238" t="s">
        <v>331</v>
      </c>
      <c r="D90" s="240"/>
      <c r="E90" s="257">
        <f>E91</f>
        <v>318.2</v>
      </c>
    </row>
    <row r="91" spans="1:8" ht="47.25" customHeight="1">
      <c r="A91" s="250" t="s">
        <v>330</v>
      </c>
      <c r="B91" s="251" t="s">
        <v>245</v>
      </c>
      <c r="C91" s="251" t="s">
        <v>331</v>
      </c>
      <c r="D91" s="251" t="s">
        <v>293</v>
      </c>
      <c r="E91" s="261">
        <f>E92</f>
        <v>318.2</v>
      </c>
    </row>
    <row r="92" spans="1:8" ht="57.75" customHeight="1">
      <c r="A92" s="252" t="s">
        <v>332</v>
      </c>
      <c r="B92" s="253" t="s">
        <v>245</v>
      </c>
      <c r="C92" s="253" t="s">
        <v>331</v>
      </c>
      <c r="D92" s="253" t="s">
        <v>333</v>
      </c>
      <c r="E92" s="260">
        <v>318.2</v>
      </c>
    </row>
    <row r="93" spans="1:8" ht="30" customHeight="1">
      <c r="A93" s="239" t="s">
        <v>514</v>
      </c>
      <c r="B93" s="240" t="s">
        <v>247</v>
      </c>
      <c r="C93" s="240"/>
      <c r="D93" s="240"/>
      <c r="E93" s="257">
        <f>E94</f>
        <v>73518.3</v>
      </c>
    </row>
    <row r="94" spans="1:8" ht="56.25" customHeight="1">
      <c r="A94" s="237" t="s">
        <v>556</v>
      </c>
      <c r="B94" s="238" t="s">
        <v>247</v>
      </c>
      <c r="C94" s="238" t="s">
        <v>334</v>
      </c>
      <c r="D94" s="238"/>
      <c r="E94" s="256">
        <f>E95+E97</f>
        <v>73518.3</v>
      </c>
    </row>
    <row r="95" spans="1:8" ht="33.75" customHeight="1">
      <c r="A95" s="245" t="s">
        <v>288</v>
      </c>
      <c r="B95" s="242" t="s">
        <v>247</v>
      </c>
      <c r="C95" s="242" t="s">
        <v>334</v>
      </c>
      <c r="D95" s="242" t="s">
        <v>289</v>
      </c>
      <c r="E95" s="258">
        <f>E96</f>
        <v>73508.3</v>
      </c>
    </row>
    <row r="96" spans="1:8" ht="42" customHeight="1">
      <c r="A96" s="241" t="s">
        <v>290</v>
      </c>
      <c r="B96" s="242" t="s">
        <v>247</v>
      </c>
      <c r="C96" s="242" t="s">
        <v>334</v>
      </c>
      <c r="D96" s="242" t="s">
        <v>291</v>
      </c>
      <c r="E96" s="258">
        <v>73508.3</v>
      </c>
      <c r="H96" s="136"/>
    </row>
    <row r="97" spans="1:8" ht="24.75" customHeight="1">
      <c r="A97" s="246" t="s">
        <v>335</v>
      </c>
      <c r="B97" s="242" t="s">
        <v>247</v>
      </c>
      <c r="C97" s="242" t="s">
        <v>334</v>
      </c>
      <c r="D97" s="242" t="s">
        <v>293</v>
      </c>
      <c r="E97" s="258">
        <f>E98</f>
        <v>10</v>
      </c>
    </row>
    <row r="98" spans="1:8" ht="32.25" customHeight="1">
      <c r="A98" s="252" t="s">
        <v>336</v>
      </c>
      <c r="B98" s="253" t="s">
        <v>247</v>
      </c>
      <c r="C98" s="253" t="s">
        <v>334</v>
      </c>
      <c r="D98" s="253" t="s">
        <v>295</v>
      </c>
      <c r="E98" s="260">
        <v>10</v>
      </c>
    </row>
    <row r="99" spans="1:8" ht="37.5" customHeight="1">
      <c r="A99" s="239" t="s">
        <v>248</v>
      </c>
      <c r="B99" s="240" t="s">
        <v>249</v>
      </c>
      <c r="C99" s="240"/>
      <c r="D99" s="240"/>
      <c r="E99" s="257">
        <f>E101</f>
        <v>30</v>
      </c>
    </row>
    <row r="100" spans="1:8" ht="31.5" customHeight="1">
      <c r="A100" s="237" t="s">
        <v>529</v>
      </c>
      <c r="B100" s="238" t="s">
        <v>249</v>
      </c>
      <c r="C100" s="238" t="s">
        <v>337</v>
      </c>
      <c r="D100" s="238"/>
      <c r="E100" s="256">
        <f>E101</f>
        <v>30</v>
      </c>
    </row>
    <row r="101" spans="1:8" ht="52.5" customHeight="1">
      <c r="A101" s="237" t="s">
        <v>537</v>
      </c>
      <c r="B101" s="251" t="s">
        <v>249</v>
      </c>
      <c r="C101" s="251" t="s">
        <v>337</v>
      </c>
      <c r="D101" s="238"/>
      <c r="E101" s="256">
        <f>E102</f>
        <v>30</v>
      </c>
    </row>
    <row r="102" spans="1:8" ht="40.5" customHeight="1">
      <c r="A102" s="245" t="s">
        <v>288</v>
      </c>
      <c r="B102" s="242" t="s">
        <v>249</v>
      </c>
      <c r="C102" s="242" t="s">
        <v>337</v>
      </c>
      <c r="D102" s="242" t="s">
        <v>289</v>
      </c>
      <c r="E102" s="258">
        <f>E103</f>
        <v>30</v>
      </c>
    </row>
    <row r="103" spans="1:8" ht="30.75" customHeight="1">
      <c r="A103" s="252" t="s">
        <v>290</v>
      </c>
      <c r="B103" s="253" t="s">
        <v>249</v>
      </c>
      <c r="C103" s="253" t="s">
        <v>337</v>
      </c>
      <c r="D103" s="253" t="s">
        <v>291</v>
      </c>
      <c r="E103" s="260">
        <v>30</v>
      </c>
    </row>
    <row r="104" spans="1:8" ht="32.25" customHeight="1">
      <c r="A104" s="380" t="s">
        <v>515</v>
      </c>
      <c r="B104" s="236" t="s">
        <v>250</v>
      </c>
      <c r="C104" s="236"/>
      <c r="D104" s="236"/>
      <c r="E104" s="262">
        <f>E105</f>
        <v>66643.700000000012</v>
      </c>
    </row>
    <row r="105" spans="1:8" ht="27.75" customHeight="1">
      <c r="A105" s="267" t="s">
        <v>251</v>
      </c>
      <c r="B105" s="238" t="s">
        <v>252</v>
      </c>
      <c r="C105" s="238"/>
      <c r="D105" s="238"/>
      <c r="E105" s="256">
        <f>E107+E110+E113+E116+E119</f>
        <v>66643.700000000012</v>
      </c>
    </row>
    <row r="106" spans="1:8" ht="36" customHeight="1">
      <c r="A106" s="385" t="s">
        <v>533</v>
      </c>
      <c r="B106" s="238" t="s">
        <v>252</v>
      </c>
      <c r="C106" s="240"/>
      <c r="D106" s="238"/>
      <c r="E106" s="256">
        <f>E107+E110+E113+E116+E119</f>
        <v>66643.700000000012</v>
      </c>
    </row>
    <row r="107" spans="1:8" ht="54.75" customHeight="1">
      <c r="A107" s="247" t="s">
        <v>538</v>
      </c>
      <c r="B107" s="240" t="s">
        <v>252</v>
      </c>
      <c r="C107" s="240" t="s">
        <v>338</v>
      </c>
      <c r="D107" s="240"/>
      <c r="E107" s="257">
        <f>E108</f>
        <v>6500</v>
      </c>
    </row>
    <row r="108" spans="1:8" ht="30.75" customHeight="1">
      <c r="A108" s="245" t="s">
        <v>288</v>
      </c>
      <c r="B108" s="242" t="s">
        <v>252</v>
      </c>
      <c r="C108" s="242" t="s">
        <v>338</v>
      </c>
      <c r="D108" s="242" t="s">
        <v>289</v>
      </c>
      <c r="E108" s="258">
        <f>E109</f>
        <v>6500</v>
      </c>
    </row>
    <row r="109" spans="1:8" ht="39" customHeight="1">
      <c r="A109" s="241" t="s">
        <v>290</v>
      </c>
      <c r="B109" s="242" t="s">
        <v>252</v>
      </c>
      <c r="C109" s="242" t="s">
        <v>338</v>
      </c>
      <c r="D109" s="242" t="s">
        <v>291</v>
      </c>
      <c r="E109" s="258">
        <v>6500</v>
      </c>
    </row>
    <row r="110" spans="1:8" ht="32.25" customHeight="1">
      <c r="A110" s="247" t="s">
        <v>339</v>
      </c>
      <c r="B110" s="240" t="s">
        <v>252</v>
      </c>
      <c r="C110" s="240" t="s">
        <v>340</v>
      </c>
      <c r="D110" s="240"/>
      <c r="E110" s="257">
        <f>E111</f>
        <v>37070.300000000003</v>
      </c>
    </row>
    <row r="111" spans="1:8" ht="36.75" customHeight="1">
      <c r="A111" s="245" t="s">
        <v>288</v>
      </c>
      <c r="B111" s="268" t="s">
        <v>252</v>
      </c>
      <c r="C111" s="242" t="s">
        <v>340</v>
      </c>
      <c r="D111" s="268" t="s">
        <v>289</v>
      </c>
      <c r="E111" s="258">
        <f>E112</f>
        <v>37070.300000000003</v>
      </c>
    </row>
    <row r="112" spans="1:8" ht="42" customHeight="1">
      <c r="A112" s="241" t="s">
        <v>290</v>
      </c>
      <c r="B112" s="268" t="s">
        <v>252</v>
      </c>
      <c r="C112" s="242" t="s">
        <v>340</v>
      </c>
      <c r="D112" s="268" t="s">
        <v>291</v>
      </c>
      <c r="E112" s="258">
        <v>37070.300000000003</v>
      </c>
      <c r="G112" s="136"/>
      <c r="H112" s="136"/>
    </row>
    <row r="113" spans="1:7" ht="37.5" customHeight="1">
      <c r="A113" s="247" t="s">
        <v>341</v>
      </c>
      <c r="B113" s="240" t="s">
        <v>252</v>
      </c>
      <c r="C113" s="240" t="s">
        <v>342</v>
      </c>
      <c r="D113" s="240"/>
      <c r="E113" s="257">
        <f>E114</f>
        <v>22170.400000000001</v>
      </c>
    </row>
    <row r="114" spans="1:7" ht="36" customHeight="1">
      <c r="A114" s="245" t="s">
        <v>288</v>
      </c>
      <c r="B114" s="268" t="s">
        <v>252</v>
      </c>
      <c r="C114" s="242" t="s">
        <v>342</v>
      </c>
      <c r="D114" s="268" t="s">
        <v>289</v>
      </c>
      <c r="E114" s="258">
        <f>E115</f>
        <v>22170.400000000001</v>
      </c>
    </row>
    <row r="115" spans="1:7" ht="43.5" customHeight="1">
      <c r="A115" s="241" t="s">
        <v>290</v>
      </c>
      <c r="B115" s="268" t="s">
        <v>252</v>
      </c>
      <c r="C115" s="242" t="s">
        <v>342</v>
      </c>
      <c r="D115" s="268" t="s">
        <v>291</v>
      </c>
      <c r="E115" s="258">
        <v>22170.400000000001</v>
      </c>
      <c r="G115" s="136"/>
    </row>
    <row r="116" spans="1:7" ht="54" customHeight="1">
      <c r="A116" s="247" t="s">
        <v>539</v>
      </c>
      <c r="B116" s="240" t="s">
        <v>252</v>
      </c>
      <c r="C116" s="240" t="s">
        <v>343</v>
      </c>
      <c r="D116" s="240"/>
      <c r="E116" s="257">
        <f>E117</f>
        <v>0</v>
      </c>
    </row>
    <row r="117" spans="1:7" ht="32.25" customHeight="1">
      <c r="A117" s="245" t="s">
        <v>288</v>
      </c>
      <c r="B117" s="268" t="s">
        <v>252</v>
      </c>
      <c r="C117" s="242" t="s">
        <v>343</v>
      </c>
      <c r="D117" s="268" t="s">
        <v>289</v>
      </c>
      <c r="E117" s="258">
        <f>E118</f>
        <v>0</v>
      </c>
    </row>
    <row r="118" spans="1:7" ht="37.5" customHeight="1">
      <c r="A118" s="241" t="s">
        <v>290</v>
      </c>
      <c r="B118" s="268" t="s">
        <v>252</v>
      </c>
      <c r="C118" s="242" t="s">
        <v>343</v>
      </c>
      <c r="D118" s="268" t="s">
        <v>291</v>
      </c>
      <c r="E118" s="258">
        <v>0</v>
      </c>
    </row>
    <row r="119" spans="1:7" ht="57" customHeight="1">
      <c r="A119" s="239" t="s">
        <v>540</v>
      </c>
      <c r="B119" s="244" t="s">
        <v>252</v>
      </c>
      <c r="C119" s="240" t="s">
        <v>344</v>
      </c>
      <c r="D119" s="244"/>
      <c r="E119" s="257">
        <f>E120</f>
        <v>903</v>
      </c>
    </row>
    <row r="120" spans="1:7" ht="39.75" customHeight="1">
      <c r="A120" s="245" t="s">
        <v>288</v>
      </c>
      <c r="B120" s="268" t="s">
        <v>252</v>
      </c>
      <c r="C120" s="242" t="s">
        <v>344</v>
      </c>
      <c r="D120" s="268" t="s">
        <v>289</v>
      </c>
      <c r="E120" s="258">
        <f>E121</f>
        <v>903</v>
      </c>
      <c r="G120" s="136"/>
    </row>
    <row r="121" spans="1:7" ht="39.75" customHeight="1">
      <c r="A121" s="252" t="s">
        <v>290</v>
      </c>
      <c r="B121" s="270" t="s">
        <v>252</v>
      </c>
      <c r="C121" s="253" t="s">
        <v>344</v>
      </c>
      <c r="D121" s="270" t="s">
        <v>291</v>
      </c>
      <c r="E121" s="260">
        <v>903</v>
      </c>
    </row>
    <row r="122" spans="1:7" ht="22.5" customHeight="1">
      <c r="A122" s="380" t="s">
        <v>516</v>
      </c>
      <c r="B122" s="236" t="s">
        <v>253</v>
      </c>
      <c r="C122" s="236"/>
      <c r="D122" s="236"/>
      <c r="E122" s="262">
        <f>E127+E123</f>
        <v>1391.8</v>
      </c>
    </row>
    <row r="123" spans="1:7" ht="30.75" customHeight="1">
      <c r="A123" s="266" t="s">
        <v>517</v>
      </c>
      <c r="B123" s="238" t="s">
        <v>255</v>
      </c>
      <c r="C123" s="238"/>
      <c r="D123" s="238"/>
      <c r="E123" s="256">
        <f>E124</f>
        <v>41.1</v>
      </c>
    </row>
    <row r="124" spans="1:7" ht="134.25" customHeight="1">
      <c r="A124" s="247" t="s">
        <v>557</v>
      </c>
      <c r="B124" s="240" t="s">
        <v>255</v>
      </c>
      <c r="C124" s="240" t="s">
        <v>345</v>
      </c>
      <c r="D124" s="240"/>
      <c r="E124" s="257">
        <f>E126</f>
        <v>41.1</v>
      </c>
    </row>
    <row r="125" spans="1:7" ht="34.5" customHeight="1">
      <c r="A125" s="246" t="s">
        <v>288</v>
      </c>
      <c r="B125" s="242" t="s">
        <v>255</v>
      </c>
      <c r="C125" s="242" t="s">
        <v>345</v>
      </c>
      <c r="D125" s="242" t="s">
        <v>289</v>
      </c>
      <c r="E125" s="258">
        <f>E126</f>
        <v>41.1</v>
      </c>
    </row>
    <row r="126" spans="1:7" ht="36.75" customHeight="1">
      <c r="A126" s="241" t="s">
        <v>290</v>
      </c>
      <c r="B126" s="242" t="s">
        <v>255</v>
      </c>
      <c r="C126" s="242" t="s">
        <v>345</v>
      </c>
      <c r="D126" s="242" t="s">
        <v>291</v>
      </c>
      <c r="E126" s="258">
        <v>41.1</v>
      </c>
    </row>
    <row r="127" spans="1:7" ht="25.5" customHeight="1">
      <c r="A127" s="247" t="s">
        <v>256</v>
      </c>
      <c r="B127" s="240" t="s">
        <v>257</v>
      </c>
      <c r="C127" s="240"/>
      <c r="D127" s="240"/>
      <c r="E127" s="276">
        <f>E132+E129</f>
        <v>1350.7</v>
      </c>
    </row>
    <row r="128" spans="1:7" ht="42.75" customHeight="1">
      <c r="A128" s="247" t="s">
        <v>529</v>
      </c>
      <c r="B128" s="240" t="s">
        <v>257</v>
      </c>
      <c r="C128" s="240"/>
      <c r="D128" s="240"/>
      <c r="E128" s="259">
        <f>E129+E132</f>
        <v>1350.7</v>
      </c>
    </row>
    <row r="129" spans="1:5" ht="40.5" customHeight="1">
      <c r="A129" s="247" t="s">
        <v>532</v>
      </c>
      <c r="B129" s="240" t="s">
        <v>257</v>
      </c>
      <c r="C129" s="240" t="s">
        <v>346</v>
      </c>
      <c r="D129" s="240"/>
      <c r="E129" s="257">
        <f>E130</f>
        <v>1110.2</v>
      </c>
    </row>
    <row r="130" spans="1:5" ht="41.25" customHeight="1">
      <c r="A130" s="245" t="s">
        <v>288</v>
      </c>
      <c r="B130" s="242" t="s">
        <v>257</v>
      </c>
      <c r="C130" s="242" t="s">
        <v>346</v>
      </c>
      <c r="D130" s="242" t="s">
        <v>289</v>
      </c>
      <c r="E130" s="258">
        <f>E131</f>
        <v>1110.2</v>
      </c>
    </row>
    <row r="131" spans="1:5" ht="39" customHeight="1">
      <c r="A131" s="241" t="s">
        <v>290</v>
      </c>
      <c r="B131" s="242" t="s">
        <v>257</v>
      </c>
      <c r="C131" s="242" t="s">
        <v>346</v>
      </c>
      <c r="D131" s="242" t="s">
        <v>291</v>
      </c>
      <c r="E131" s="258">
        <v>1110.2</v>
      </c>
    </row>
    <row r="132" spans="1:5" ht="66.75" customHeight="1">
      <c r="A132" s="239" t="s">
        <v>564</v>
      </c>
      <c r="B132" s="240" t="s">
        <v>257</v>
      </c>
      <c r="C132" s="240" t="s">
        <v>547</v>
      </c>
      <c r="D132" s="240"/>
      <c r="E132" s="257">
        <f>E134</f>
        <v>240.5</v>
      </c>
    </row>
    <row r="133" spans="1:5" ht="45" customHeight="1">
      <c r="A133" s="245" t="s">
        <v>288</v>
      </c>
      <c r="B133" s="253" t="s">
        <v>257</v>
      </c>
      <c r="C133" s="242" t="s">
        <v>547</v>
      </c>
      <c r="D133" s="242" t="s">
        <v>289</v>
      </c>
      <c r="E133" s="258">
        <f>E134</f>
        <v>240.5</v>
      </c>
    </row>
    <row r="134" spans="1:5" ht="41.25" customHeight="1">
      <c r="A134" s="252" t="s">
        <v>290</v>
      </c>
      <c r="B134" s="253" t="s">
        <v>257</v>
      </c>
      <c r="C134" s="389" t="s">
        <v>547</v>
      </c>
      <c r="D134" s="253" t="s">
        <v>291</v>
      </c>
      <c r="E134" s="260">
        <v>240.5</v>
      </c>
    </row>
    <row r="135" spans="1:5" ht="23.25" customHeight="1">
      <c r="A135" s="380" t="s">
        <v>518</v>
      </c>
      <c r="B135" s="236" t="s">
        <v>258</v>
      </c>
      <c r="C135" s="236"/>
      <c r="D135" s="236"/>
      <c r="E135" s="262">
        <f>E136+E141</f>
        <v>32653.5</v>
      </c>
    </row>
    <row r="136" spans="1:5" ht="24" customHeight="1">
      <c r="A136" s="266" t="s">
        <v>259</v>
      </c>
      <c r="B136" s="238" t="s">
        <v>260</v>
      </c>
      <c r="C136" s="238"/>
      <c r="D136" s="238"/>
      <c r="E136" s="256">
        <f>E138</f>
        <v>9961.6</v>
      </c>
    </row>
    <row r="137" spans="1:5" ht="30" customHeight="1">
      <c r="A137" s="239" t="s">
        <v>529</v>
      </c>
      <c r="B137" s="238" t="s">
        <v>260</v>
      </c>
      <c r="C137" s="240"/>
      <c r="D137" s="238"/>
      <c r="E137" s="269">
        <f>E138</f>
        <v>9961.6</v>
      </c>
    </row>
    <row r="138" spans="1:5" ht="63" customHeight="1">
      <c r="A138" s="247" t="s">
        <v>541</v>
      </c>
      <c r="B138" s="240" t="s">
        <v>260</v>
      </c>
      <c r="C138" s="240" t="s">
        <v>348</v>
      </c>
      <c r="D138" s="240"/>
      <c r="E138" s="257">
        <f>E140</f>
        <v>9961.6</v>
      </c>
    </row>
    <row r="139" spans="1:5" ht="39.75" customHeight="1">
      <c r="A139" s="245" t="s">
        <v>288</v>
      </c>
      <c r="B139" s="242" t="s">
        <v>260</v>
      </c>
      <c r="C139" s="242" t="s">
        <v>348</v>
      </c>
      <c r="D139" s="242" t="s">
        <v>289</v>
      </c>
      <c r="E139" s="258">
        <f>E140</f>
        <v>9961.6</v>
      </c>
    </row>
    <row r="140" spans="1:5" ht="40.5" customHeight="1">
      <c r="A140" s="241" t="s">
        <v>290</v>
      </c>
      <c r="B140" s="242" t="s">
        <v>260</v>
      </c>
      <c r="C140" s="242" t="s">
        <v>348</v>
      </c>
      <c r="D140" s="242" t="s">
        <v>291</v>
      </c>
      <c r="E140" s="258">
        <v>9961.6</v>
      </c>
    </row>
    <row r="141" spans="1:5" ht="33" customHeight="1">
      <c r="A141" s="239" t="s">
        <v>519</v>
      </c>
      <c r="B141" s="240" t="s">
        <v>262</v>
      </c>
      <c r="C141" s="240"/>
      <c r="D141" s="240"/>
      <c r="E141" s="257">
        <f>E143+E146</f>
        <v>22691.899999999998</v>
      </c>
    </row>
    <row r="142" spans="1:5" ht="33" customHeight="1">
      <c r="A142" s="239" t="s">
        <v>529</v>
      </c>
      <c r="B142" s="240" t="s">
        <v>262</v>
      </c>
      <c r="C142" s="240"/>
      <c r="D142" s="240"/>
      <c r="E142" s="259">
        <f>E143</f>
        <v>3383.8</v>
      </c>
    </row>
    <row r="143" spans="1:5" ht="47.25" customHeight="1">
      <c r="A143" s="239" t="s">
        <v>558</v>
      </c>
      <c r="B143" s="240" t="s">
        <v>262</v>
      </c>
      <c r="C143" s="240" t="s">
        <v>502</v>
      </c>
      <c r="D143" s="240"/>
      <c r="E143" s="257">
        <f>E144</f>
        <v>3383.8</v>
      </c>
    </row>
    <row r="144" spans="1:5" ht="35.25" customHeight="1">
      <c r="A144" s="245" t="s">
        <v>288</v>
      </c>
      <c r="B144" s="242" t="s">
        <v>262</v>
      </c>
      <c r="C144" s="242" t="s">
        <v>502</v>
      </c>
      <c r="D144" s="242" t="s">
        <v>289</v>
      </c>
      <c r="E144" s="258">
        <f>E145</f>
        <v>3383.8</v>
      </c>
    </row>
    <row r="145" spans="1:5" ht="41.25" customHeight="1">
      <c r="A145" s="241" t="s">
        <v>290</v>
      </c>
      <c r="B145" s="242" t="s">
        <v>262</v>
      </c>
      <c r="C145" s="242" t="s">
        <v>502</v>
      </c>
      <c r="D145" s="242" t="s">
        <v>291</v>
      </c>
      <c r="E145" s="258">
        <v>3383.8</v>
      </c>
    </row>
    <row r="146" spans="1:5" ht="27.75" customHeight="1">
      <c r="A146" s="239" t="s">
        <v>347</v>
      </c>
      <c r="B146" s="240" t="s">
        <v>262</v>
      </c>
      <c r="C146" s="240" t="s">
        <v>503</v>
      </c>
      <c r="D146" s="242"/>
      <c r="E146" s="257">
        <f>E147+E149+E151</f>
        <v>19308.099999999999</v>
      </c>
    </row>
    <row r="147" spans="1:5" ht="80.25" customHeight="1">
      <c r="A147" s="241" t="s">
        <v>286</v>
      </c>
      <c r="B147" s="242" t="s">
        <v>262</v>
      </c>
      <c r="C147" s="242" t="s">
        <v>503</v>
      </c>
      <c r="D147" s="242" t="s">
        <v>279</v>
      </c>
      <c r="E147" s="258">
        <f>E148</f>
        <v>16708.5</v>
      </c>
    </row>
    <row r="148" spans="1:5" ht="43.5" customHeight="1">
      <c r="A148" s="241" t="s">
        <v>349</v>
      </c>
      <c r="B148" s="242" t="s">
        <v>262</v>
      </c>
      <c r="C148" s="242" t="s">
        <v>503</v>
      </c>
      <c r="D148" s="242" t="s">
        <v>506</v>
      </c>
      <c r="E148" s="258">
        <v>16708.5</v>
      </c>
    </row>
    <row r="149" spans="1:5" ht="39" customHeight="1">
      <c r="A149" s="245" t="s">
        <v>288</v>
      </c>
      <c r="B149" s="242" t="s">
        <v>262</v>
      </c>
      <c r="C149" s="242" t="s">
        <v>503</v>
      </c>
      <c r="D149" s="242" t="s">
        <v>289</v>
      </c>
      <c r="E149" s="258">
        <f>E150</f>
        <v>2591.6</v>
      </c>
    </row>
    <row r="150" spans="1:5" ht="41.25" customHeight="1">
      <c r="A150" s="241" t="s">
        <v>290</v>
      </c>
      <c r="B150" s="242" t="s">
        <v>262</v>
      </c>
      <c r="C150" s="242" t="s">
        <v>503</v>
      </c>
      <c r="D150" s="242" t="s">
        <v>291</v>
      </c>
      <c r="E150" s="258">
        <v>2591.6</v>
      </c>
    </row>
    <row r="151" spans="1:5" ht="24.75" customHeight="1">
      <c r="A151" s="241" t="s">
        <v>350</v>
      </c>
      <c r="B151" s="242" t="s">
        <v>262</v>
      </c>
      <c r="C151" s="242" t="s">
        <v>503</v>
      </c>
      <c r="D151" s="242" t="s">
        <v>293</v>
      </c>
      <c r="E151" s="258">
        <f>E152</f>
        <v>8</v>
      </c>
    </row>
    <row r="152" spans="1:5" ht="26.25" customHeight="1">
      <c r="A152" s="252" t="s">
        <v>336</v>
      </c>
      <c r="B152" s="242" t="s">
        <v>262</v>
      </c>
      <c r="C152" s="242" t="s">
        <v>503</v>
      </c>
      <c r="D152" s="253" t="s">
        <v>295</v>
      </c>
      <c r="E152" s="260">
        <v>8</v>
      </c>
    </row>
    <row r="153" spans="1:5" ht="27.75" customHeight="1">
      <c r="A153" s="380" t="s">
        <v>520</v>
      </c>
      <c r="B153" s="236">
        <v>1000</v>
      </c>
      <c r="C153" s="236"/>
      <c r="D153" s="236"/>
      <c r="E153" s="262">
        <f>E155+E158</f>
        <v>1903.8000000000002</v>
      </c>
    </row>
    <row r="154" spans="1:5" ht="19.5" customHeight="1">
      <c r="A154" s="368" t="s">
        <v>521</v>
      </c>
      <c r="B154" s="238" t="s">
        <v>264</v>
      </c>
      <c r="C154" s="238"/>
      <c r="D154" s="238"/>
      <c r="E154" s="275">
        <f>E157</f>
        <v>1155.9000000000001</v>
      </c>
    </row>
    <row r="155" spans="1:5" ht="60" customHeight="1">
      <c r="A155" s="243" t="s">
        <v>351</v>
      </c>
      <c r="B155" s="244" t="s">
        <v>264</v>
      </c>
      <c r="C155" s="240" t="s">
        <v>352</v>
      </c>
      <c r="D155" s="244"/>
      <c r="E155" s="258">
        <f>E157</f>
        <v>1155.9000000000001</v>
      </c>
    </row>
    <row r="156" spans="1:5" ht="30.75" customHeight="1">
      <c r="A156" s="245" t="s">
        <v>353</v>
      </c>
      <c r="B156" s="268" t="s">
        <v>264</v>
      </c>
      <c r="C156" s="242" t="s">
        <v>352</v>
      </c>
      <c r="D156" s="268" t="s">
        <v>354</v>
      </c>
      <c r="E156" s="258">
        <f>E157</f>
        <v>1155.9000000000001</v>
      </c>
    </row>
    <row r="157" spans="1:5" ht="30.75" customHeight="1">
      <c r="A157" s="245" t="s">
        <v>355</v>
      </c>
      <c r="B157" s="268" t="s">
        <v>264</v>
      </c>
      <c r="C157" s="242" t="s">
        <v>352</v>
      </c>
      <c r="D157" s="268" t="s">
        <v>356</v>
      </c>
      <c r="E157" s="258">
        <v>1155.9000000000001</v>
      </c>
    </row>
    <row r="158" spans="1:5" ht="26.25" customHeight="1">
      <c r="A158" s="247" t="s">
        <v>522</v>
      </c>
      <c r="B158" s="240" t="s">
        <v>266</v>
      </c>
      <c r="C158" s="240"/>
      <c r="D158" s="240"/>
      <c r="E158" s="257">
        <f>E159</f>
        <v>747.9</v>
      </c>
    </row>
    <row r="159" spans="1:5" ht="66" customHeight="1">
      <c r="A159" s="247" t="s">
        <v>504</v>
      </c>
      <c r="B159" s="240" t="s">
        <v>266</v>
      </c>
      <c r="C159" s="240" t="s">
        <v>358</v>
      </c>
      <c r="D159" s="240"/>
      <c r="E159" s="277">
        <f>E161</f>
        <v>747.9</v>
      </c>
    </row>
    <row r="160" spans="1:5" ht="31.5" customHeight="1">
      <c r="A160" s="245" t="s">
        <v>353</v>
      </c>
      <c r="B160" s="242" t="s">
        <v>266</v>
      </c>
      <c r="C160" s="242" t="s">
        <v>358</v>
      </c>
      <c r="D160" s="242" t="s">
        <v>354</v>
      </c>
      <c r="E160" s="258">
        <f>E161</f>
        <v>747.9</v>
      </c>
    </row>
    <row r="161" spans="1:9" ht="33" customHeight="1">
      <c r="A161" s="372" t="s">
        <v>355</v>
      </c>
      <c r="B161" s="253" t="s">
        <v>266</v>
      </c>
      <c r="C161" s="253" t="s">
        <v>358</v>
      </c>
      <c r="D161" s="253" t="s">
        <v>356</v>
      </c>
      <c r="E161" s="260">
        <v>747.9</v>
      </c>
    </row>
    <row r="162" spans="1:9" ht="23.25" customHeight="1">
      <c r="A162" s="380" t="s">
        <v>523</v>
      </c>
      <c r="B162" s="236" t="s">
        <v>267</v>
      </c>
      <c r="C162" s="236"/>
      <c r="D162" s="236"/>
      <c r="E162" s="262">
        <f>E163</f>
        <v>4349.2</v>
      </c>
    </row>
    <row r="163" spans="1:9" ht="22.5" customHeight="1">
      <c r="A163" s="266" t="s">
        <v>268</v>
      </c>
      <c r="B163" s="238" t="s">
        <v>269</v>
      </c>
      <c r="C163" s="238"/>
      <c r="D163" s="238"/>
      <c r="E163" s="256">
        <f>E165+E168</f>
        <v>4349.2</v>
      </c>
    </row>
    <row r="164" spans="1:9" ht="27" customHeight="1">
      <c r="A164" s="239" t="s">
        <v>529</v>
      </c>
      <c r="B164" s="356" t="s">
        <v>269</v>
      </c>
      <c r="C164" s="240"/>
      <c r="D164" s="238"/>
      <c r="E164" s="269">
        <f>E165</f>
        <v>2912.1</v>
      </c>
    </row>
    <row r="165" spans="1:9" ht="117.75" customHeight="1">
      <c r="A165" s="378" t="s">
        <v>560</v>
      </c>
      <c r="B165" s="379" t="s">
        <v>269</v>
      </c>
      <c r="C165" s="240" t="s">
        <v>505</v>
      </c>
      <c r="D165" s="242"/>
      <c r="E165" s="257">
        <f>E166</f>
        <v>2912.1</v>
      </c>
    </row>
    <row r="166" spans="1:9" ht="33" customHeight="1">
      <c r="A166" s="245" t="s">
        <v>288</v>
      </c>
      <c r="B166" s="253" t="s">
        <v>269</v>
      </c>
      <c r="C166" s="242" t="s">
        <v>505</v>
      </c>
      <c r="D166" s="242" t="s">
        <v>289</v>
      </c>
      <c r="E166" s="258">
        <f>E167</f>
        <v>2912.1</v>
      </c>
    </row>
    <row r="167" spans="1:9" ht="38.25" customHeight="1">
      <c r="A167" s="241" t="s">
        <v>290</v>
      </c>
      <c r="B167" s="253" t="s">
        <v>269</v>
      </c>
      <c r="C167" s="242" t="s">
        <v>505</v>
      </c>
      <c r="D167" s="242" t="s">
        <v>291</v>
      </c>
      <c r="E167" s="258">
        <v>2912.1</v>
      </c>
    </row>
    <row r="168" spans="1:9" ht="29.25" customHeight="1">
      <c r="A168" s="239" t="s">
        <v>347</v>
      </c>
      <c r="B168" s="240" t="s">
        <v>269</v>
      </c>
      <c r="C168" s="240" t="s">
        <v>503</v>
      </c>
      <c r="D168" s="242"/>
      <c r="E168" s="257">
        <f>E169</f>
        <v>1437.1</v>
      </c>
    </row>
    <row r="169" spans="1:9" ht="78.75" customHeight="1">
      <c r="A169" s="241" t="s">
        <v>286</v>
      </c>
      <c r="B169" s="242" t="s">
        <v>269</v>
      </c>
      <c r="C169" s="242" t="s">
        <v>503</v>
      </c>
      <c r="D169" s="242" t="s">
        <v>279</v>
      </c>
      <c r="E169" s="255">
        <f>E170</f>
        <v>1437.1</v>
      </c>
    </row>
    <row r="170" spans="1:9" ht="45.75" customHeight="1">
      <c r="A170" s="241" t="s">
        <v>349</v>
      </c>
      <c r="B170" s="242" t="s">
        <v>269</v>
      </c>
      <c r="C170" s="242" t="s">
        <v>503</v>
      </c>
      <c r="D170" s="242" t="s">
        <v>506</v>
      </c>
      <c r="E170" s="255">
        <v>1437.1</v>
      </c>
    </row>
    <row r="171" spans="1:9" ht="26.25" customHeight="1">
      <c r="A171" s="380" t="s">
        <v>524</v>
      </c>
      <c r="B171" s="236" t="s">
        <v>270</v>
      </c>
      <c r="C171" s="236"/>
      <c r="D171" s="236"/>
      <c r="E171" s="262">
        <f>E172</f>
        <v>1093.5999999999999</v>
      </c>
    </row>
    <row r="172" spans="1:9" ht="21" customHeight="1">
      <c r="A172" s="266" t="s">
        <v>525</v>
      </c>
      <c r="B172" s="238" t="s">
        <v>272</v>
      </c>
      <c r="C172" s="238"/>
      <c r="D172" s="238"/>
      <c r="E172" s="256">
        <f>E173</f>
        <v>1093.5999999999999</v>
      </c>
    </row>
    <row r="173" spans="1:9" ht="139.5" customHeight="1">
      <c r="A173" s="378" t="s">
        <v>559</v>
      </c>
      <c r="B173" s="240" t="s">
        <v>272</v>
      </c>
      <c r="C173" s="240" t="s">
        <v>359</v>
      </c>
      <c r="D173" s="240"/>
      <c r="E173" s="257">
        <f>E175</f>
        <v>1093.5999999999999</v>
      </c>
    </row>
    <row r="174" spans="1:9" ht="36" customHeight="1">
      <c r="A174" s="245" t="s">
        <v>288</v>
      </c>
      <c r="B174" s="242" t="s">
        <v>272</v>
      </c>
      <c r="C174" s="242" t="s">
        <v>359</v>
      </c>
      <c r="D174" s="242" t="s">
        <v>289</v>
      </c>
      <c r="E174" s="258">
        <f>E175</f>
        <v>1093.5999999999999</v>
      </c>
    </row>
    <row r="175" spans="1:9" ht="44.25" customHeight="1">
      <c r="A175" s="252" t="s">
        <v>290</v>
      </c>
      <c r="B175" s="253" t="s">
        <v>272</v>
      </c>
      <c r="C175" s="253" t="s">
        <v>359</v>
      </c>
      <c r="D175" s="253" t="s">
        <v>291</v>
      </c>
      <c r="E175" s="393">
        <v>1093.5999999999999</v>
      </c>
    </row>
    <row r="176" spans="1:9" ht="29.25" customHeight="1">
      <c r="A176" s="369" t="s">
        <v>273</v>
      </c>
      <c r="B176" s="274"/>
      <c r="C176" s="274"/>
      <c r="D176" s="274"/>
      <c r="E176" s="373">
        <f>E171+E162+E158+E154+E135+E122+E104+E88+E82+E10</f>
        <v>216883.30000000002</v>
      </c>
      <c r="I176" s="136"/>
    </row>
    <row r="180" spans="5:5">
      <c r="E180" s="136"/>
    </row>
    <row r="181" spans="5:5">
      <c r="E181" s="9"/>
    </row>
    <row r="183" spans="5:5">
      <c r="E183" s="9"/>
    </row>
  </sheetData>
  <mergeCells count="5">
    <mergeCell ref="A6:E7"/>
    <mergeCell ref="C1:E1"/>
    <mergeCell ref="C2:E2"/>
    <mergeCell ref="C4:E4"/>
    <mergeCell ref="B3:E3"/>
  </mergeCells>
  <pageMargins left="0.21" right="0.18" top="0.16" bottom="0.17" header="0.31496062992126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76"/>
  <sheetViews>
    <sheetView tabSelected="1" view="pageBreakPreview" zoomScaleSheetLayoutView="100" workbookViewId="0">
      <selection activeCell="B5" sqref="B5"/>
    </sheetView>
  </sheetViews>
  <sheetFormatPr defaultColWidth="9.140625" defaultRowHeight="12.75"/>
  <cols>
    <col min="1" max="1" width="9.28515625" style="222" customWidth="1"/>
    <col min="2" max="2" width="47.28515625" style="223" customWidth="1"/>
    <col min="3" max="3" width="7.42578125" style="224" customWidth="1"/>
    <col min="4" max="4" width="10.7109375" style="222" customWidth="1"/>
    <col min="5" max="5" width="12" style="224" customWidth="1"/>
    <col min="6" max="6" width="7.140625" style="224" customWidth="1"/>
    <col min="7" max="7" width="0.140625" style="222" hidden="1" customWidth="1"/>
    <col min="8" max="8" width="8.140625" style="225" hidden="1" customWidth="1"/>
    <col min="9" max="9" width="8" hidden="1" customWidth="1"/>
    <col min="10" max="10" width="5.140625" hidden="1" customWidth="1"/>
    <col min="11" max="11" width="11.7109375" hidden="1" customWidth="1"/>
    <col min="12" max="12" width="11" hidden="1" customWidth="1"/>
    <col min="13" max="13" width="12.5703125" hidden="1" customWidth="1"/>
    <col min="14" max="14" width="16.7109375" style="221" customWidth="1"/>
    <col min="15" max="15" width="6.7109375" customWidth="1"/>
    <col min="16" max="16" width="11.28515625" customWidth="1"/>
    <col min="17" max="17" width="9.85546875" customWidth="1"/>
    <col min="18" max="19" width="9.140625" customWidth="1"/>
  </cols>
  <sheetData>
    <row r="1" spans="1:19" ht="15">
      <c r="B1" s="412" t="s">
        <v>550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9" ht="15">
      <c r="B2" s="412" t="s">
        <v>548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9" ht="15">
      <c r="B3" s="412" t="s">
        <v>549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1:19" ht="16.5">
      <c r="B4" s="403"/>
      <c r="C4" s="404"/>
      <c r="D4" s="412" t="s">
        <v>566</v>
      </c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1:19">
      <c r="B5" s="22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</row>
    <row r="6" spans="1:19" ht="19.5" customHeight="1">
      <c r="A6" s="413" t="s">
        <v>360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</row>
    <row r="7" spans="1:19" ht="30.75" customHeight="1">
      <c r="A7" s="411" t="s">
        <v>553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</row>
    <row r="8" spans="1:19" ht="5.25" customHeight="1" thickBot="1">
      <c r="A8" s="227"/>
      <c r="B8" s="228"/>
      <c r="C8" s="229"/>
      <c r="D8" s="227"/>
      <c r="E8" s="227"/>
      <c r="F8" s="230"/>
      <c r="G8" s="230"/>
      <c r="H8" s="231"/>
      <c r="I8" s="3"/>
      <c r="J8" s="3"/>
      <c r="K8" s="3"/>
      <c r="L8" s="3"/>
      <c r="M8" s="3"/>
      <c r="N8" s="226"/>
    </row>
    <row r="9" spans="1:19" ht="60.75" customHeight="1">
      <c r="A9" s="232" t="s">
        <v>361</v>
      </c>
      <c r="B9" s="233" t="s">
        <v>221</v>
      </c>
      <c r="C9" s="234" t="s">
        <v>362</v>
      </c>
      <c r="D9" s="234" t="s">
        <v>222</v>
      </c>
      <c r="E9" s="234" t="s">
        <v>274</v>
      </c>
      <c r="F9" s="234" t="s">
        <v>275</v>
      </c>
      <c r="G9" s="234" t="s">
        <v>223</v>
      </c>
      <c r="H9" s="235" t="s">
        <v>224</v>
      </c>
      <c r="I9" s="318" t="s">
        <v>55</v>
      </c>
      <c r="J9" s="318" t="s">
        <v>56</v>
      </c>
      <c r="K9" s="235" t="s">
        <v>225</v>
      </c>
      <c r="L9" s="318" t="s">
        <v>58</v>
      </c>
      <c r="M9" s="318" t="s">
        <v>59</v>
      </c>
      <c r="N9" s="319" t="s">
        <v>498</v>
      </c>
    </row>
    <row r="10" spans="1:19" ht="44.25" customHeight="1">
      <c r="A10" s="278" t="s">
        <v>67</v>
      </c>
      <c r="B10" s="279" t="s">
        <v>363</v>
      </c>
      <c r="C10" s="278" t="s">
        <v>364</v>
      </c>
      <c r="D10" s="278"/>
      <c r="E10" s="278"/>
      <c r="F10" s="278"/>
      <c r="G10" s="278"/>
      <c r="H10" s="280" t="e">
        <f>H13+H16</f>
        <v>#REF!</v>
      </c>
      <c r="I10" s="280" t="e">
        <f>I13+I16</f>
        <v>#REF!</v>
      </c>
      <c r="J10" s="280" t="e">
        <f>J13+J16</f>
        <v>#REF!</v>
      </c>
      <c r="K10" s="280" t="e">
        <f>K11+K16</f>
        <v>#REF!</v>
      </c>
      <c r="L10" s="280" t="e">
        <f>L11+L16</f>
        <v>#REF!</v>
      </c>
      <c r="M10" s="280" t="e">
        <f>M11+M16</f>
        <v>#REF!</v>
      </c>
      <c r="N10" s="391">
        <f>N11</f>
        <v>4327.5</v>
      </c>
    </row>
    <row r="11" spans="1:19" ht="30" customHeight="1">
      <c r="A11" s="281" t="s">
        <v>365</v>
      </c>
      <c r="B11" s="382" t="s">
        <v>226</v>
      </c>
      <c r="C11" s="283" t="s">
        <v>364</v>
      </c>
      <c r="D11" s="283" t="s">
        <v>227</v>
      </c>
      <c r="E11" s="283"/>
      <c r="F11" s="283"/>
      <c r="G11" s="283"/>
      <c r="H11" s="284" t="e">
        <f>H13+H16+#REF!</f>
        <v>#REF!</v>
      </c>
      <c r="I11" s="284" t="e">
        <f>I13+I16</f>
        <v>#REF!</v>
      </c>
      <c r="J11" s="284" t="e">
        <f>J13+J16</f>
        <v>#REF!</v>
      </c>
      <c r="K11" s="284" t="e">
        <f>K13+K40+#REF!</f>
        <v>#REF!</v>
      </c>
      <c r="L11" s="284" t="e">
        <f>L13+L40+#REF!</f>
        <v>#REF!</v>
      </c>
      <c r="M11" s="284" t="e">
        <f>M13+M40+#REF!</f>
        <v>#REF!</v>
      </c>
      <c r="N11" s="262">
        <f>N13+N16+N28</f>
        <v>4327.5</v>
      </c>
    </row>
    <row r="12" spans="1:19" ht="30" customHeight="1">
      <c r="A12" s="281" t="s">
        <v>73</v>
      </c>
      <c r="B12" s="282" t="s">
        <v>228</v>
      </c>
      <c r="C12" s="283" t="s">
        <v>364</v>
      </c>
      <c r="D12" s="283" t="s">
        <v>229</v>
      </c>
      <c r="E12" s="283"/>
      <c r="F12" s="283"/>
      <c r="G12" s="283"/>
      <c r="H12" s="284"/>
      <c r="I12" s="284"/>
      <c r="J12" s="284"/>
      <c r="K12" s="284"/>
      <c r="L12" s="284"/>
      <c r="M12" s="284"/>
      <c r="N12" s="275">
        <f>N13</f>
        <v>1495.2</v>
      </c>
      <c r="P12" s="136"/>
    </row>
    <row r="13" spans="1:19" ht="32.25" customHeight="1">
      <c r="A13" s="281" t="s">
        <v>76</v>
      </c>
      <c r="B13" s="282" t="s">
        <v>276</v>
      </c>
      <c r="C13" s="283" t="s">
        <v>364</v>
      </c>
      <c r="D13" s="283" t="s">
        <v>229</v>
      </c>
      <c r="E13" s="283" t="s">
        <v>277</v>
      </c>
      <c r="F13" s="283"/>
      <c r="G13" s="283"/>
      <c r="H13" s="284">
        <f t="shared" ref="H13:M13" si="0">H15</f>
        <v>753.2</v>
      </c>
      <c r="I13" s="284">
        <f t="shared" si="0"/>
        <v>530.70000000000005</v>
      </c>
      <c r="J13" s="284">
        <f t="shared" si="0"/>
        <v>753.2</v>
      </c>
      <c r="K13" s="284">
        <f t="shared" si="0"/>
        <v>918.9</v>
      </c>
      <c r="L13" s="284">
        <f t="shared" si="0"/>
        <v>606.1</v>
      </c>
      <c r="M13" s="284">
        <f t="shared" si="0"/>
        <v>918.9</v>
      </c>
      <c r="N13" s="276">
        <f>N14</f>
        <v>1495.2</v>
      </c>
    </row>
    <row r="14" spans="1:19" ht="52.5" customHeight="1">
      <c r="A14" s="285" t="s">
        <v>79</v>
      </c>
      <c r="B14" s="286" t="s">
        <v>278</v>
      </c>
      <c r="C14" s="287" t="s">
        <v>364</v>
      </c>
      <c r="D14" s="287" t="s">
        <v>229</v>
      </c>
      <c r="E14" s="287" t="s">
        <v>277</v>
      </c>
      <c r="F14" s="287" t="s">
        <v>279</v>
      </c>
      <c r="G14" s="287"/>
      <c r="H14" s="288" t="e">
        <f>[3]роспись!H9</f>
        <v>#REF!</v>
      </c>
      <c r="I14" s="288">
        <v>530.70000000000005</v>
      </c>
      <c r="J14" s="288">
        <v>753.2</v>
      </c>
      <c r="K14" s="288">
        <v>918.9</v>
      </c>
      <c r="L14" s="288">
        <v>606.1</v>
      </c>
      <c r="M14" s="288">
        <v>918.9</v>
      </c>
      <c r="N14" s="392">
        <f>N15</f>
        <v>1495.2</v>
      </c>
      <c r="R14" s="136"/>
      <c r="S14" s="136"/>
    </row>
    <row r="15" spans="1:19" ht="26.25" customHeight="1">
      <c r="A15" s="285" t="s">
        <v>366</v>
      </c>
      <c r="B15" s="286" t="s">
        <v>280</v>
      </c>
      <c r="C15" s="287" t="s">
        <v>364</v>
      </c>
      <c r="D15" s="287" t="s">
        <v>229</v>
      </c>
      <c r="E15" s="287" t="s">
        <v>277</v>
      </c>
      <c r="F15" s="287" t="s">
        <v>281</v>
      </c>
      <c r="G15" s="287"/>
      <c r="H15" s="288">
        <f>[3]роспись!H10</f>
        <v>753.2</v>
      </c>
      <c r="I15" s="288">
        <v>530.70000000000005</v>
      </c>
      <c r="J15" s="288">
        <v>753.2</v>
      </c>
      <c r="K15" s="288">
        <v>918.9</v>
      </c>
      <c r="L15" s="288">
        <v>606.1</v>
      </c>
      <c r="M15" s="288">
        <v>918.9</v>
      </c>
      <c r="N15" s="264">
        <v>1495.2</v>
      </c>
    </row>
    <row r="16" spans="1:19" ht="48" customHeight="1">
      <c r="A16" s="281" t="s">
        <v>367</v>
      </c>
      <c r="B16" s="282" t="s">
        <v>230</v>
      </c>
      <c r="C16" s="283" t="s">
        <v>364</v>
      </c>
      <c r="D16" s="283" t="s">
        <v>231</v>
      </c>
      <c r="E16" s="283"/>
      <c r="F16" s="283"/>
      <c r="G16" s="283"/>
      <c r="H16" s="284" t="e">
        <f>H25</f>
        <v>#REF!</v>
      </c>
      <c r="I16" s="284" t="e">
        <f>I25</f>
        <v>#REF!</v>
      </c>
      <c r="J16" s="284" t="e">
        <f>J25</f>
        <v>#REF!</v>
      </c>
      <c r="K16" s="284" t="e">
        <f>K25+K18</f>
        <v>#REF!</v>
      </c>
      <c r="L16" s="284" t="e">
        <f>L25+L18</f>
        <v>#REF!</v>
      </c>
      <c r="M16" s="284" t="e">
        <f>M25+M18</f>
        <v>#REF!</v>
      </c>
      <c r="N16" s="276">
        <f>N17</f>
        <v>2716.3</v>
      </c>
      <c r="R16" s="136"/>
      <c r="S16" s="136"/>
    </row>
    <row r="17" spans="1:19" ht="42.75" customHeight="1">
      <c r="A17" s="281" t="s">
        <v>95</v>
      </c>
      <c r="B17" s="289" t="s">
        <v>282</v>
      </c>
      <c r="C17" s="290" t="s">
        <v>364</v>
      </c>
      <c r="D17" s="290" t="s">
        <v>231</v>
      </c>
      <c r="E17" s="283" t="s">
        <v>283</v>
      </c>
      <c r="F17" s="290"/>
      <c r="G17" s="283"/>
      <c r="H17" s="284" t="e">
        <f>#REF!</f>
        <v>#REF!</v>
      </c>
      <c r="I17" s="284" t="e">
        <f>#REF!</f>
        <v>#REF!</v>
      </c>
      <c r="J17" s="284" t="e">
        <f>#REF!</f>
        <v>#REF!</v>
      </c>
      <c r="K17" s="284" t="e">
        <f>#REF!</f>
        <v>#REF!</v>
      </c>
      <c r="L17" s="284" t="e">
        <f>#REF!</f>
        <v>#REF!</v>
      </c>
      <c r="M17" s="284" t="e">
        <f>#REF!</f>
        <v>#REF!</v>
      </c>
      <c r="N17" s="276">
        <f>N25+N18</f>
        <v>2716.3</v>
      </c>
      <c r="Q17" s="136"/>
      <c r="R17" s="136"/>
      <c r="S17" s="136"/>
    </row>
    <row r="18" spans="1:19" ht="32.25" customHeight="1">
      <c r="A18" s="281" t="s">
        <v>368</v>
      </c>
      <c r="B18" s="282" t="s">
        <v>284</v>
      </c>
      <c r="C18" s="283" t="s">
        <v>364</v>
      </c>
      <c r="D18" s="283" t="s">
        <v>231</v>
      </c>
      <c r="E18" s="283" t="s">
        <v>285</v>
      </c>
      <c r="F18" s="283"/>
      <c r="G18" s="283"/>
      <c r="H18" s="284"/>
      <c r="I18" s="284"/>
      <c r="J18" s="284"/>
      <c r="K18" s="284" t="e">
        <f>K20+#REF!</f>
        <v>#REF!</v>
      </c>
      <c r="L18" s="284" t="e">
        <f>L20+#REF!</f>
        <v>#REF!</v>
      </c>
      <c r="M18" s="284" t="e">
        <f>M20+#REF!</f>
        <v>#REF!</v>
      </c>
      <c r="N18" s="276">
        <f>N20+N22+N24</f>
        <v>2557.9</v>
      </c>
    </row>
    <row r="19" spans="1:19" ht="56.25" customHeight="1">
      <c r="A19" s="285" t="s">
        <v>369</v>
      </c>
      <c r="B19" s="291" t="s">
        <v>286</v>
      </c>
      <c r="C19" s="287" t="s">
        <v>364</v>
      </c>
      <c r="D19" s="287" t="s">
        <v>231</v>
      </c>
      <c r="E19" s="287" t="s">
        <v>285</v>
      </c>
      <c r="F19" s="287" t="s">
        <v>279</v>
      </c>
      <c r="G19" s="287"/>
      <c r="H19" s="288"/>
      <c r="I19" s="288"/>
      <c r="J19" s="288"/>
      <c r="K19" s="288">
        <v>519.5</v>
      </c>
      <c r="L19" s="288">
        <v>330.8</v>
      </c>
      <c r="M19" s="288">
        <v>519.70000000000005</v>
      </c>
      <c r="N19" s="392">
        <f>N20</f>
        <v>1756.8</v>
      </c>
    </row>
    <row r="20" spans="1:19" ht="38.25" customHeight="1">
      <c r="A20" s="285" t="s">
        <v>370</v>
      </c>
      <c r="B20" s="291" t="s">
        <v>287</v>
      </c>
      <c r="C20" s="287" t="s">
        <v>364</v>
      </c>
      <c r="D20" s="287" t="s">
        <v>231</v>
      </c>
      <c r="E20" s="287" t="s">
        <v>285</v>
      </c>
      <c r="F20" s="287" t="s">
        <v>281</v>
      </c>
      <c r="G20" s="287"/>
      <c r="H20" s="288"/>
      <c r="I20" s="288"/>
      <c r="J20" s="288"/>
      <c r="K20" s="288">
        <v>519.5</v>
      </c>
      <c r="L20" s="288">
        <v>330.8</v>
      </c>
      <c r="M20" s="288">
        <v>519.70000000000005</v>
      </c>
      <c r="N20" s="264">
        <v>1756.8</v>
      </c>
    </row>
    <row r="21" spans="1:19" ht="28.5" customHeight="1">
      <c r="A21" s="285" t="s">
        <v>371</v>
      </c>
      <c r="B21" s="291" t="s">
        <v>288</v>
      </c>
      <c r="C21" s="287" t="s">
        <v>364</v>
      </c>
      <c r="D21" s="287" t="s">
        <v>231</v>
      </c>
      <c r="E21" s="287" t="s">
        <v>285</v>
      </c>
      <c r="F21" s="287" t="s">
        <v>289</v>
      </c>
      <c r="G21" s="287"/>
      <c r="H21" s="288"/>
      <c r="I21" s="288"/>
      <c r="J21" s="288"/>
      <c r="K21" s="288">
        <v>519.5</v>
      </c>
      <c r="L21" s="288">
        <v>330.8</v>
      </c>
      <c r="M21" s="288">
        <v>519.70000000000005</v>
      </c>
      <c r="N21" s="264">
        <f>N22</f>
        <v>800</v>
      </c>
      <c r="Q21" s="136"/>
    </row>
    <row r="22" spans="1:19" ht="31.5" customHeight="1">
      <c r="A22" s="285" t="s">
        <v>372</v>
      </c>
      <c r="B22" s="286" t="s">
        <v>290</v>
      </c>
      <c r="C22" s="287" t="s">
        <v>364</v>
      </c>
      <c r="D22" s="287" t="s">
        <v>231</v>
      </c>
      <c r="E22" s="287" t="s">
        <v>285</v>
      </c>
      <c r="F22" s="287" t="s">
        <v>291</v>
      </c>
      <c r="G22" s="287"/>
      <c r="H22" s="288"/>
      <c r="I22" s="288"/>
      <c r="J22" s="288"/>
      <c r="K22" s="288">
        <v>519.5</v>
      </c>
      <c r="L22" s="288">
        <v>330.8</v>
      </c>
      <c r="M22" s="288">
        <v>519.70000000000005</v>
      </c>
      <c r="N22" s="264">
        <v>800</v>
      </c>
    </row>
    <row r="23" spans="1:19" ht="26.25" customHeight="1">
      <c r="A23" s="285" t="s">
        <v>373</v>
      </c>
      <c r="B23" s="292" t="s">
        <v>292</v>
      </c>
      <c r="C23" s="287" t="s">
        <v>364</v>
      </c>
      <c r="D23" s="287" t="s">
        <v>231</v>
      </c>
      <c r="E23" s="287" t="s">
        <v>285</v>
      </c>
      <c r="F23" s="287" t="s">
        <v>293</v>
      </c>
      <c r="G23" s="287"/>
      <c r="H23" s="288"/>
      <c r="I23" s="288"/>
      <c r="J23" s="288"/>
      <c r="K23" s="288"/>
      <c r="L23" s="288"/>
      <c r="M23" s="288"/>
      <c r="N23" s="264">
        <f>N24</f>
        <v>1.1000000000000001</v>
      </c>
    </row>
    <row r="24" spans="1:19" ht="24.75" customHeight="1">
      <c r="A24" s="285" t="s">
        <v>374</v>
      </c>
      <c r="B24" s="286" t="s">
        <v>375</v>
      </c>
      <c r="C24" s="287" t="s">
        <v>364</v>
      </c>
      <c r="D24" s="287" t="s">
        <v>231</v>
      </c>
      <c r="E24" s="287" t="s">
        <v>285</v>
      </c>
      <c r="F24" s="287" t="s">
        <v>295</v>
      </c>
      <c r="G24" s="287"/>
      <c r="H24" s="288"/>
      <c r="I24" s="288"/>
      <c r="J24" s="288"/>
      <c r="K24" s="288"/>
      <c r="L24" s="288"/>
      <c r="M24" s="288"/>
      <c r="N24" s="264">
        <v>1.1000000000000001</v>
      </c>
    </row>
    <row r="25" spans="1:19" ht="30" customHeight="1">
      <c r="A25" s="281" t="s">
        <v>376</v>
      </c>
      <c r="B25" s="289" t="s">
        <v>296</v>
      </c>
      <c r="C25" s="290" t="s">
        <v>364</v>
      </c>
      <c r="D25" s="290" t="s">
        <v>231</v>
      </c>
      <c r="E25" s="283" t="s">
        <v>297</v>
      </c>
      <c r="F25" s="290"/>
      <c r="G25" s="283"/>
      <c r="H25" s="284" t="e">
        <f>#REF!</f>
        <v>#REF!</v>
      </c>
      <c r="I25" s="284" t="e">
        <f>#REF!</f>
        <v>#REF!</v>
      </c>
      <c r="J25" s="284" t="e">
        <f>#REF!</f>
        <v>#REF!</v>
      </c>
      <c r="K25" s="284" t="e">
        <f>#REF!</f>
        <v>#REF!</v>
      </c>
      <c r="L25" s="284" t="e">
        <f>#REF!</f>
        <v>#REF!</v>
      </c>
      <c r="M25" s="284" t="e">
        <f>#REF!</f>
        <v>#REF!</v>
      </c>
      <c r="N25" s="388">
        <f>N26</f>
        <v>158.4</v>
      </c>
    </row>
    <row r="26" spans="1:19" ht="51" customHeight="1">
      <c r="A26" s="285" t="s">
        <v>377</v>
      </c>
      <c r="B26" s="286" t="s">
        <v>278</v>
      </c>
      <c r="C26" s="287" t="s">
        <v>364</v>
      </c>
      <c r="D26" s="287" t="s">
        <v>231</v>
      </c>
      <c r="E26" s="287" t="s">
        <v>297</v>
      </c>
      <c r="F26" s="287" t="s">
        <v>279</v>
      </c>
      <c r="G26" s="287"/>
      <c r="H26" s="288" t="e">
        <f>[3]роспись!H13</f>
        <v>#REF!</v>
      </c>
      <c r="I26" s="288">
        <v>530.70000000000005</v>
      </c>
      <c r="J26" s="288">
        <v>753.2</v>
      </c>
      <c r="K26" s="288">
        <v>918.9</v>
      </c>
      <c r="L26" s="288">
        <v>606.1</v>
      </c>
      <c r="M26" s="288">
        <v>918.9</v>
      </c>
      <c r="N26" s="264">
        <f>N27</f>
        <v>158.4</v>
      </c>
    </row>
    <row r="27" spans="1:19" ht="36" customHeight="1" thickBot="1">
      <c r="A27" s="285" t="s">
        <v>378</v>
      </c>
      <c r="B27" s="286" t="s">
        <v>280</v>
      </c>
      <c r="C27" s="287" t="s">
        <v>364</v>
      </c>
      <c r="D27" s="287" t="s">
        <v>231</v>
      </c>
      <c r="E27" s="287" t="s">
        <v>297</v>
      </c>
      <c r="F27" s="287" t="s">
        <v>281</v>
      </c>
      <c r="G27" s="287"/>
      <c r="H27" s="288" t="e">
        <f>[3]роспись!H14</f>
        <v>#REF!</v>
      </c>
      <c r="I27" s="288">
        <v>530.70000000000005</v>
      </c>
      <c r="J27" s="288">
        <v>753.2</v>
      </c>
      <c r="K27" s="288">
        <v>918.9</v>
      </c>
      <c r="L27" s="288">
        <v>606.1</v>
      </c>
      <c r="M27" s="288">
        <v>918.9</v>
      </c>
      <c r="N27" s="264">
        <v>158.4</v>
      </c>
    </row>
    <row r="28" spans="1:19" ht="26.25" customHeight="1" thickBot="1">
      <c r="A28" s="278" t="s">
        <v>169</v>
      </c>
      <c r="B28" s="382" t="s">
        <v>379</v>
      </c>
      <c r="C28" s="287" t="s">
        <v>364</v>
      </c>
      <c r="D28" s="287" t="s">
        <v>227</v>
      </c>
      <c r="E28" s="287"/>
      <c r="F28" s="287"/>
      <c r="G28" s="287"/>
      <c r="H28" s="288"/>
      <c r="I28" s="288"/>
      <c r="J28" s="288"/>
      <c r="K28" s="288"/>
      <c r="L28" s="288"/>
      <c r="M28" s="288"/>
      <c r="N28" s="276">
        <f>N29</f>
        <v>116</v>
      </c>
    </row>
    <row r="29" spans="1:19" ht="42.75" customHeight="1" thickBot="1">
      <c r="A29" s="293" t="s">
        <v>73</v>
      </c>
      <c r="B29" s="294" t="s">
        <v>322</v>
      </c>
      <c r="C29" s="283" t="s">
        <v>364</v>
      </c>
      <c r="D29" s="283" t="s">
        <v>239</v>
      </c>
      <c r="E29" s="283" t="s">
        <v>323</v>
      </c>
      <c r="F29" s="283"/>
      <c r="G29" s="287"/>
      <c r="H29" s="288">
        <f>H31</f>
        <v>70</v>
      </c>
      <c r="I29" s="288">
        <f t="shared" ref="I29:N29" si="1">I31</f>
        <v>0</v>
      </c>
      <c r="J29" s="288">
        <f t="shared" si="1"/>
        <v>20</v>
      </c>
      <c r="K29" s="284">
        <f t="shared" si="1"/>
        <v>60</v>
      </c>
      <c r="L29" s="284">
        <f t="shared" si="1"/>
        <v>30</v>
      </c>
      <c r="M29" s="284">
        <f t="shared" si="1"/>
        <v>60</v>
      </c>
      <c r="N29" s="388">
        <f t="shared" si="1"/>
        <v>116</v>
      </c>
    </row>
    <row r="30" spans="1:19" ht="29.25" customHeight="1">
      <c r="A30" s="295" t="s">
        <v>76</v>
      </c>
      <c r="B30" s="296" t="s">
        <v>292</v>
      </c>
      <c r="C30" s="287" t="s">
        <v>364</v>
      </c>
      <c r="D30" s="287" t="s">
        <v>239</v>
      </c>
      <c r="E30" s="287" t="s">
        <v>323</v>
      </c>
      <c r="F30" s="287" t="s">
        <v>293</v>
      </c>
      <c r="G30" s="287"/>
      <c r="H30" s="288">
        <v>70</v>
      </c>
      <c r="I30" s="288"/>
      <c r="J30" s="288">
        <v>20</v>
      </c>
      <c r="K30" s="288">
        <v>60</v>
      </c>
      <c r="L30" s="288">
        <v>30</v>
      </c>
      <c r="M30" s="288">
        <v>60</v>
      </c>
      <c r="N30" s="264">
        <f>N31</f>
        <v>116</v>
      </c>
    </row>
    <row r="31" spans="1:19" ht="29.25" customHeight="1" thickBot="1">
      <c r="A31" s="295" t="s">
        <v>79</v>
      </c>
      <c r="B31" s="296" t="s">
        <v>294</v>
      </c>
      <c r="C31" s="287" t="s">
        <v>364</v>
      </c>
      <c r="D31" s="287" t="s">
        <v>239</v>
      </c>
      <c r="E31" s="287" t="s">
        <v>323</v>
      </c>
      <c r="F31" s="287" t="s">
        <v>295</v>
      </c>
      <c r="G31" s="287"/>
      <c r="H31" s="288">
        <v>70</v>
      </c>
      <c r="I31" s="288"/>
      <c r="J31" s="288">
        <v>20</v>
      </c>
      <c r="K31" s="288">
        <v>60</v>
      </c>
      <c r="L31" s="288">
        <v>30</v>
      </c>
      <c r="M31" s="288">
        <v>60</v>
      </c>
      <c r="N31" s="264">
        <v>116</v>
      </c>
    </row>
    <row r="32" spans="1:19" ht="27" hidden="1" customHeight="1">
      <c r="A32" s="285" t="s">
        <v>380</v>
      </c>
      <c r="B32" s="282" t="s">
        <v>226</v>
      </c>
      <c r="C32" s="283" t="s">
        <v>381</v>
      </c>
      <c r="D32" s="283" t="s">
        <v>227</v>
      </c>
      <c r="E32" s="287"/>
      <c r="F32" s="287"/>
      <c r="G32" s="287"/>
      <c r="H32" s="288"/>
      <c r="I32" s="288"/>
      <c r="J32" s="288"/>
      <c r="K32" s="288"/>
      <c r="L32" s="288"/>
      <c r="M32" s="288"/>
      <c r="N32" s="276">
        <f>N33</f>
        <v>0</v>
      </c>
    </row>
    <row r="33" spans="1:17" ht="24.75" hidden="1" customHeight="1">
      <c r="A33" s="293" t="s">
        <v>73</v>
      </c>
      <c r="B33" s="294" t="s">
        <v>234</v>
      </c>
      <c r="C33" s="297" t="s">
        <v>381</v>
      </c>
      <c r="D33" s="283" t="s">
        <v>235</v>
      </c>
      <c r="E33" s="283" t="s">
        <v>382</v>
      </c>
      <c r="F33" s="283"/>
      <c r="G33" s="283"/>
      <c r="H33" s="283"/>
      <c r="I33" s="283"/>
      <c r="J33" s="283"/>
      <c r="K33" s="283"/>
      <c r="L33" s="283"/>
      <c r="M33" s="283"/>
      <c r="N33" s="276">
        <f>N34</f>
        <v>0</v>
      </c>
    </row>
    <row r="34" spans="1:17" ht="23.25" hidden="1" customHeight="1">
      <c r="A34" s="295" t="s">
        <v>76</v>
      </c>
      <c r="B34" s="298" t="s">
        <v>309</v>
      </c>
      <c r="C34" s="299" t="s">
        <v>381</v>
      </c>
      <c r="D34" s="299" t="s">
        <v>235</v>
      </c>
      <c r="E34" s="299" t="s">
        <v>382</v>
      </c>
      <c r="F34" s="299" t="s">
        <v>289</v>
      </c>
      <c r="G34" s="300"/>
      <c r="H34" s="301"/>
      <c r="I34" s="301"/>
      <c r="J34" s="301"/>
      <c r="K34" s="320"/>
      <c r="L34" s="321"/>
      <c r="M34" s="321"/>
      <c r="N34" s="264">
        <f>N35</f>
        <v>0</v>
      </c>
    </row>
    <row r="35" spans="1:17" ht="16.149999999999999" hidden="1" customHeight="1">
      <c r="A35" s="295" t="s">
        <v>79</v>
      </c>
      <c r="B35" s="298" t="s">
        <v>310</v>
      </c>
      <c r="C35" s="299" t="s">
        <v>381</v>
      </c>
      <c r="D35" s="299" t="s">
        <v>235</v>
      </c>
      <c r="E35" s="299" t="s">
        <v>382</v>
      </c>
      <c r="F35" s="299" t="s">
        <v>291</v>
      </c>
      <c r="G35" s="300"/>
      <c r="H35" s="301"/>
      <c r="I35" s="301"/>
      <c r="J35" s="301"/>
      <c r="K35" s="320"/>
      <c r="L35" s="321"/>
      <c r="M35" s="321"/>
      <c r="N35" s="393">
        <v>0</v>
      </c>
    </row>
    <row r="36" spans="1:17" ht="40.5" customHeight="1" thickBot="1">
      <c r="A36" s="302" t="s">
        <v>169</v>
      </c>
      <c r="B36" s="279" t="s">
        <v>383</v>
      </c>
      <c r="C36" s="278" t="s">
        <v>384</v>
      </c>
      <c r="D36" s="278"/>
      <c r="E36" s="278"/>
      <c r="F36" s="278"/>
      <c r="G36" s="283"/>
      <c r="H36" s="284" t="e">
        <f>H37+#REF!+#REF!</f>
        <v>#REF!</v>
      </c>
      <c r="I36" s="284" t="e">
        <f>I37+#REF!+#REF!</f>
        <v>#REF!</v>
      </c>
      <c r="J36" s="284" t="e">
        <f>J37+#REF!+#REF!</f>
        <v>#REF!</v>
      </c>
      <c r="K36" s="280" t="e">
        <f>K37+K87+K107+K125+K137+K153+#REF!+K170+K97</f>
        <v>#REF!</v>
      </c>
      <c r="L36" s="280" t="e">
        <f>L37+L87+L107+L125+L137+L153+#REF!+L170+L97</f>
        <v>#REF!</v>
      </c>
      <c r="M36" s="280" t="e">
        <f>M37+M87+M107+M125+M137+M153+#REF!+M170+M97</f>
        <v>#REF!</v>
      </c>
      <c r="N36" s="391">
        <f>N37+N87+N92+N107+N125+N137+N154+N159+N162+N170</f>
        <v>212555.80000000002</v>
      </c>
    </row>
    <row r="37" spans="1:17" ht="25.9" customHeight="1" thickBot="1">
      <c r="A37" s="281" t="s">
        <v>365</v>
      </c>
      <c r="B37" s="382" t="s">
        <v>226</v>
      </c>
      <c r="C37" s="283" t="s">
        <v>384</v>
      </c>
      <c r="D37" s="283" t="s">
        <v>227</v>
      </c>
      <c r="E37" s="283"/>
      <c r="F37" s="283"/>
      <c r="G37" s="283"/>
      <c r="H37" s="284" t="e">
        <f>H38+#REF!+H42</f>
        <v>#REF!</v>
      </c>
      <c r="I37" s="284" t="e">
        <f>I38+#REF!</f>
        <v>#REF!</v>
      </c>
      <c r="J37" s="284" t="e">
        <f>J38+#REF!</f>
        <v>#REF!</v>
      </c>
      <c r="K37" s="284" t="e">
        <f>K38+K55+K59</f>
        <v>#REF!</v>
      </c>
      <c r="L37" s="284" t="e">
        <f>L38+L55+L59</f>
        <v>#REF!</v>
      </c>
      <c r="M37" s="284" t="e">
        <f>M38+M55+M59</f>
        <v>#REF!</v>
      </c>
      <c r="N37" s="262">
        <f>N38+N55+N59</f>
        <v>30473.7</v>
      </c>
      <c r="P37" s="136"/>
      <c r="Q37" s="136"/>
    </row>
    <row r="38" spans="1:17" ht="56.25" customHeight="1" thickBot="1">
      <c r="A38" s="303" t="s">
        <v>385</v>
      </c>
      <c r="B38" s="282" t="s">
        <v>232</v>
      </c>
      <c r="C38" s="283" t="s">
        <v>384</v>
      </c>
      <c r="D38" s="283" t="s">
        <v>233</v>
      </c>
      <c r="E38" s="283"/>
      <c r="F38" s="283"/>
      <c r="G38" s="287"/>
      <c r="H38" s="288" t="e">
        <f>#REF!</f>
        <v>#REF!</v>
      </c>
      <c r="I38" s="288" t="e">
        <f>#REF!</f>
        <v>#REF!</v>
      </c>
      <c r="J38" s="288" t="e">
        <f>#REF!</f>
        <v>#REF!</v>
      </c>
      <c r="K38" s="284" t="e">
        <f>#REF!+K40+#REF!</f>
        <v>#REF!</v>
      </c>
      <c r="L38" s="284" t="e">
        <f>#REF!+L40+#REF!</f>
        <v>#REF!</v>
      </c>
      <c r="M38" s="284" t="e">
        <f>#REF!+M40+#REF!</f>
        <v>#REF!</v>
      </c>
      <c r="N38" s="394">
        <f>N39+N50</f>
        <v>29138.3</v>
      </c>
    </row>
    <row r="39" spans="1:17" ht="40.9" customHeight="1">
      <c r="A39" s="303" t="s">
        <v>76</v>
      </c>
      <c r="B39" s="282" t="s">
        <v>298</v>
      </c>
      <c r="C39" s="283" t="s">
        <v>384</v>
      </c>
      <c r="D39" s="283" t="s">
        <v>233</v>
      </c>
      <c r="E39" s="283" t="s">
        <v>299</v>
      </c>
      <c r="F39" s="283"/>
      <c r="G39" s="283"/>
      <c r="H39" s="284">
        <v>812</v>
      </c>
      <c r="I39" s="284">
        <v>615.29999999999995</v>
      </c>
      <c r="J39" s="284">
        <v>812</v>
      </c>
      <c r="K39" s="284" t="e">
        <f>#REF!</f>
        <v>#REF!</v>
      </c>
      <c r="L39" s="284" t="e">
        <f>#REF!</f>
        <v>#REF!</v>
      </c>
      <c r="M39" s="284" t="e">
        <f>#REF!</f>
        <v>#REF!</v>
      </c>
      <c r="N39" s="276">
        <f>N40+N47</f>
        <v>27995.399999999998</v>
      </c>
    </row>
    <row r="40" spans="1:17" ht="36.75" customHeight="1">
      <c r="A40" s="293" t="s">
        <v>82</v>
      </c>
      <c r="B40" s="294" t="s">
        <v>300</v>
      </c>
      <c r="C40" s="283" t="s">
        <v>384</v>
      </c>
      <c r="D40" s="283" t="s">
        <v>233</v>
      </c>
      <c r="E40" s="283" t="s">
        <v>301</v>
      </c>
      <c r="F40" s="283"/>
      <c r="G40" s="283"/>
      <c r="H40" s="284">
        <f>[3]роспись!H22</f>
        <v>8080.0000000000009</v>
      </c>
      <c r="I40" s="284">
        <v>5102.6000000000004</v>
      </c>
      <c r="J40" s="284">
        <v>8080</v>
      </c>
      <c r="K40" s="284" t="e">
        <f>K42+K44</f>
        <v>#REF!</v>
      </c>
      <c r="L40" s="284" t="e">
        <f>L42+L44</f>
        <v>#REF!</v>
      </c>
      <c r="M40" s="284" t="e">
        <f>M42+M44</f>
        <v>#REF!</v>
      </c>
      <c r="N40" s="276">
        <f>N41+N43+N45</f>
        <v>27674.1</v>
      </c>
    </row>
    <row r="41" spans="1:17" ht="56.45" customHeight="1">
      <c r="A41" s="304" t="s">
        <v>85</v>
      </c>
      <c r="B41" s="286" t="s">
        <v>286</v>
      </c>
      <c r="C41" s="287" t="s">
        <v>384</v>
      </c>
      <c r="D41" s="287" t="s">
        <v>233</v>
      </c>
      <c r="E41" s="287" t="s">
        <v>301</v>
      </c>
      <c r="F41" s="287" t="s">
        <v>279</v>
      </c>
      <c r="G41" s="299" t="s">
        <v>386</v>
      </c>
      <c r="H41" s="305">
        <f>H42</f>
        <v>12.7</v>
      </c>
      <c r="I41" s="305">
        <f>I42</f>
        <v>0</v>
      </c>
      <c r="J41" s="305" t="str">
        <f>J42</f>
        <v>12,7</v>
      </c>
      <c r="K41" s="288">
        <v>8250.9</v>
      </c>
      <c r="L41" s="305">
        <v>5168.5</v>
      </c>
      <c r="M41" s="305">
        <v>8250.9</v>
      </c>
      <c r="N41" s="395">
        <f>N42</f>
        <v>12065.4</v>
      </c>
    </row>
    <row r="42" spans="1:17" ht="33" customHeight="1">
      <c r="A42" s="304" t="s">
        <v>387</v>
      </c>
      <c r="B42" s="286" t="s">
        <v>287</v>
      </c>
      <c r="C42" s="287" t="s">
        <v>384</v>
      </c>
      <c r="D42" s="287" t="s">
        <v>233</v>
      </c>
      <c r="E42" s="287" t="s">
        <v>301</v>
      </c>
      <c r="F42" s="287" t="s">
        <v>281</v>
      </c>
      <c r="G42" s="299" t="s">
        <v>386</v>
      </c>
      <c r="H42" s="305">
        <f>H44</f>
        <v>12.7</v>
      </c>
      <c r="I42" s="305">
        <f>I44</f>
        <v>0</v>
      </c>
      <c r="J42" s="305" t="str">
        <f>J44</f>
        <v>12,7</v>
      </c>
      <c r="K42" s="288">
        <v>8250.9</v>
      </c>
      <c r="L42" s="305">
        <v>5168.5</v>
      </c>
      <c r="M42" s="305">
        <v>8250.9</v>
      </c>
      <c r="N42" s="396">
        <v>12065.4</v>
      </c>
    </row>
    <row r="43" spans="1:17" ht="31.5" customHeight="1">
      <c r="A43" s="304" t="s">
        <v>388</v>
      </c>
      <c r="B43" s="291" t="s">
        <v>288</v>
      </c>
      <c r="C43" s="287" t="s">
        <v>384</v>
      </c>
      <c r="D43" s="287" t="s">
        <v>233</v>
      </c>
      <c r="E43" s="287" t="s">
        <v>301</v>
      </c>
      <c r="F43" s="287" t="s">
        <v>289</v>
      </c>
      <c r="G43" s="299" t="s">
        <v>386</v>
      </c>
      <c r="H43" s="305" t="e">
        <f>[3]роспись!H36</f>
        <v>#REF!</v>
      </c>
      <c r="I43" s="305"/>
      <c r="J43" s="305" t="s">
        <v>389</v>
      </c>
      <c r="K43" s="288" t="e">
        <f>K44+#REF!</f>
        <v>#REF!</v>
      </c>
      <c r="L43" s="288" t="e">
        <f>L44+#REF!</f>
        <v>#REF!</v>
      </c>
      <c r="M43" s="288" t="e">
        <f>M44+#REF!</f>
        <v>#REF!</v>
      </c>
      <c r="N43" s="264">
        <f>N44</f>
        <v>15603.7</v>
      </c>
    </row>
    <row r="44" spans="1:17" ht="31.5" customHeight="1">
      <c r="A44" s="304" t="s">
        <v>390</v>
      </c>
      <c r="B44" s="286" t="s">
        <v>290</v>
      </c>
      <c r="C44" s="287" t="s">
        <v>384</v>
      </c>
      <c r="D44" s="287" t="s">
        <v>233</v>
      </c>
      <c r="E44" s="287" t="s">
        <v>301</v>
      </c>
      <c r="F44" s="287" t="s">
        <v>291</v>
      </c>
      <c r="G44" s="299" t="s">
        <v>386</v>
      </c>
      <c r="H44" s="305">
        <f>[3]роспись!H37</f>
        <v>12.7</v>
      </c>
      <c r="I44" s="305"/>
      <c r="J44" s="305" t="s">
        <v>389</v>
      </c>
      <c r="K44" s="288" t="e">
        <f>#REF!+#REF!</f>
        <v>#REF!</v>
      </c>
      <c r="L44" s="288" t="e">
        <f>#REF!+#REF!</f>
        <v>#REF!</v>
      </c>
      <c r="M44" s="288" t="e">
        <f>#REF!+#REF!</f>
        <v>#REF!</v>
      </c>
      <c r="N44" s="264">
        <v>15603.7</v>
      </c>
    </row>
    <row r="45" spans="1:17" ht="18.600000000000001" customHeight="1">
      <c r="A45" s="304" t="s">
        <v>391</v>
      </c>
      <c r="B45" s="292" t="s">
        <v>292</v>
      </c>
      <c r="C45" s="306" t="s">
        <v>384</v>
      </c>
      <c r="D45" s="306" t="s">
        <v>233</v>
      </c>
      <c r="E45" s="287" t="s">
        <v>301</v>
      </c>
      <c r="F45" s="287" t="s">
        <v>293</v>
      </c>
      <c r="G45" s="299" t="s">
        <v>386</v>
      </c>
      <c r="H45" s="305" t="e">
        <f>[3]роспись!H38</f>
        <v>#REF!</v>
      </c>
      <c r="I45" s="305"/>
      <c r="J45" s="305" t="s">
        <v>389</v>
      </c>
      <c r="K45" s="288" t="e">
        <f>K46+#REF!</f>
        <v>#REF!</v>
      </c>
      <c r="L45" s="288" t="e">
        <f>L46+#REF!</f>
        <v>#REF!</v>
      </c>
      <c r="M45" s="288" t="e">
        <f>M46+#REF!</f>
        <v>#REF!</v>
      </c>
      <c r="N45" s="392">
        <f>N46</f>
        <v>5</v>
      </c>
    </row>
    <row r="46" spans="1:17" ht="21" customHeight="1">
      <c r="A46" s="304" t="s">
        <v>392</v>
      </c>
      <c r="B46" s="286" t="s">
        <v>375</v>
      </c>
      <c r="C46" s="306" t="s">
        <v>384</v>
      </c>
      <c r="D46" s="306" t="s">
        <v>233</v>
      </c>
      <c r="E46" s="287" t="s">
        <v>301</v>
      </c>
      <c r="F46" s="287" t="s">
        <v>295</v>
      </c>
      <c r="G46" s="299" t="s">
        <v>386</v>
      </c>
      <c r="H46" s="305" t="e">
        <f>[3]роспись!H39</f>
        <v>#REF!</v>
      </c>
      <c r="I46" s="305"/>
      <c r="J46" s="305" t="s">
        <v>389</v>
      </c>
      <c r="K46" s="288" t="e">
        <f>#REF!+#REF!</f>
        <v>#REF!</v>
      </c>
      <c r="L46" s="288" t="e">
        <f>#REF!+#REF!</f>
        <v>#REF!</v>
      </c>
      <c r="M46" s="288" t="e">
        <f>#REF!+#REF!</f>
        <v>#REF!</v>
      </c>
      <c r="N46" s="264">
        <v>5</v>
      </c>
    </row>
    <row r="47" spans="1:17" ht="27" customHeight="1">
      <c r="A47" s="293" t="s">
        <v>89</v>
      </c>
      <c r="B47" s="282" t="s">
        <v>302</v>
      </c>
      <c r="C47" s="300" t="s">
        <v>384</v>
      </c>
      <c r="D47" s="300" t="s">
        <v>233</v>
      </c>
      <c r="E47" s="283" t="s">
        <v>303</v>
      </c>
      <c r="F47" s="283"/>
      <c r="G47" s="297"/>
      <c r="H47" s="307"/>
      <c r="I47" s="307"/>
      <c r="J47" s="307"/>
      <c r="K47" s="284"/>
      <c r="L47" s="284"/>
      <c r="M47" s="284"/>
      <c r="N47" s="388">
        <f>N48</f>
        <v>321.3</v>
      </c>
    </row>
    <row r="48" spans="1:17" ht="22.9" customHeight="1">
      <c r="A48" s="304" t="s">
        <v>393</v>
      </c>
      <c r="B48" s="308" t="s">
        <v>304</v>
      </c>
      <c r="C48" s="306" t="s">
        <v>384</v>
      </c>
      <c r="D48" s="306" t="s">
        <v>233</v>
      </c>
      <c r="E48" s="287" t="s">
        <v>303</v>
      </c>
      <c r="F48" s="287" t="s">
        <v>279</v>
      </c>
      <c r="G48" s="299"/>
      <c r="H48" s="305"/>
      <c r="I48" s="305"/>
      <c r="J48" s="305"/>
      <c r="K48" s="288"/>
      <c r="L48" s="288"/>
      <c r="M48" s="288"/>
      <c r="N48" s="264">
        <f>N49</f>
        <v>321.3</v>
      </c>
    </row>
    <row r="49" spans="1:14" ht="20.25" customHeight="1">
      <c r="A49" s="304" t="s">
        <v>394</v>
      </c>
      <c r="B49" s="309" t="s">
        <v>305</v>
      </c>
      <c r="C49" s="306" t="s">
        <v>384</v>
      </c>
      <c r="D49" s="306" t="s">
        <v>233</v>
      </c>
      <c r="E49" s="287" t="s">
        <v>303</v>
      </c>
      <c r="F49" s="287" t="s">
        <v>281</v>
      </c>
      <c r="G49" s="299"/>
      <c r="H49" s="305"/>
      <c r="I49" s="305"/>
      <c r="J49" s="305"/>
      <c r="K49" s="288"/>
      <c r="L49" s="288"/>
      <c r="M49" s="288"/>
      <c r="N49" s="264">
        <v>321.3</v>
      </c>
    </row>
    <row r="50" spans="1:14" ht="65.25" customHeight="1">
      <c r="A50" s="293" t="s">
        <v>395</v>
      </c>
      <c r="B50" s="294" t="s">
        <v>528</v>
      </c>
      <c r="C50" s="283" t="s">
        <v>384</v>
      </c>
      <c r="D50" s="283" t="s">
        <v>233</v>
      </c>
      <c r="E50" s="297" t="s">
        <v>307</v>
      </c>
      <c r="F50" s="283"/>
      <c r="G50" s="310"/>
      <c r="H50" s="311"/>
      <c r="I50" s="322"/>
      <c r="J50" s="322"/>
      <c r="K50" s="284">
        <v>657.2</v>
      </c>
      <c r="L50" s="284">
        <v>424.8</v>
      </c>
      <c r="M50" s="284">
        <v>657.2</v>
      </c>
      <c r="N50" s="388">
        <f>N51+N53</f>
        <v>1142.9000000000001</v>
      </c>
    </row>
    <row r="51" spans="1:14" ht="51.75" customHeight="1">
      <c r="A51" s="304" t="s">
        <v>396</v>
      </c>
      <c r="B51" s="286" t="s">
        <v>286</v>
      </c>
      <c r="C51" s="287" t="s">
        <v>384</v>
      </c>
      <c r="D51" s="287" t="s">
        <v>233</v>
      </c>
      <c r="E51" s="299" t="s">
        <v>307</v>
      </c>
      <c r="F51" s="287" t="s">
        <v>279</v>
      </c>
      <c r="G51" s="312"/>
      <c r="H51" s="313"/>
      <c r="I51" s="323"/>
      <c r="J51" s="323"/>
      <c r="K51" s="288"/>
      <c r="L51" s="288"/>
      <c r="M51" s="288"/>
      <c r="N51" s="264">
        <f>N52</f>
        <v>1063.4000000000001</v>
      </c>
    </row>
    <row r="52" spans="1:14" ht="33" customHeight="1">
      <c r="A52" s="304" t="s">
        <v>397</v>
      </c>
      <c r="B52" s="286" t="s">
        <v>287</v>
      </c>
      <c r="C52" s="287" t="s">
        <v>384</v>
      </c>
      <c r="D52" s="287" t="s">
        <v>233</v>
      </c>
      <c r="E52" s="299" t="s">
        <v>307</v>
      </c>
      <c r="F52" s="287" t="s">
        <v>281</v>
      </c>
      <c r="G52" s="312"/>
      <c r="H52" s="313"/>
      <c r="I52" s="323"/>
      <c r="J52" s="323"/>
      <c r="K52" s="288"/>
      <c r="L52" s="288"/>
      <c r="M52" s="288"/>
      <c r="N52" s="264">
        <v>1063.4000000000001</v>
      </c>
    </row>
    <row r="53" spans="1:14" ht="32.25" customHeight="1">
      <c r="A53" s="304" t="s">
        <v>398</v>
      </c>
      <c r="B53" s="291" t="s">
        <v>288</v>
      </c>
      <c r="C53" s="287" t="s">
        <v>384</v>
      </c>
      <c r="D53" s="287" t="s">
        <v>233</v>
      </c>
      <c r="E53" s="299" t="s">
        <v>307</v>
      </c>
      <c r="F53" s="287" t="s">
        <v>289</v>
      </c>
      <c r="G53" s="312"/>
      <c r="H53" s="313"/>
      <c r="I53" s="323"/>
      <c r="J53" s="323"/>
      <c r="K53" s="288"/>
      <c r="L53" s="288"/>
      <c r="M53" s="288"/>
      <c r="N53" s="264">
        <f>N54</f>
        <v>79.5</v>
      </c>
    </row>
    <row r="54" spans="1:14" ht="27.75" customHeight="1">
      <c r="A54" s="304" t="s">
        <v>399</v>
      </c>
      <c r="B54" s="286" t="s">
        <v>290</v>
      </c>
      <c r="C54" s="287" t="s">
        <v>384</v>
      </c>
      <c r="D54" s="287" t="s">
        <v>233</v>
      </c>
      <c r="E54" s="299" t="s">
        <v>307</v>
      </c>
      <c r="F54" s="287" t="s">
        <v>291</v>
      </c>
      <c r="G54" s="312"/>
      <c r="H54" s="313"/>
      <c r="I54" s="323"/>
      <c r="J54" s="323"/>
      <c r="K54" s="288"/>
      <c r="L54" s="288"/>
      <c r="M54" s="288"/>
      <c r="N54" s="264">
        <v>79.5</v>
      </c>
    </row>
    <row r="55" spans="1:14" ht="25.5" customHeight="1">
      <c r="A55" s="314" t="s">
        <v>92</v>
      </c>
      <c r="B55" s="294" t="s">
        <v>236</v>
      </c>
      <c r="C55" s="283" t="s">
        <v>384</v>
      </c>
      <c r="D55" s="283" t="s">
        <v>237</v>
      </c>
      <c r="E55" s="283"/>
      <c r="F55" s="283"/>
      <c r="G55" s="287"/>
      <c r="H55" s="288">
        <f>H56</f>
        <v>80</v>
      </c>
      <c r="I55" s="288">
        <f t="shared" ref="I55:N55" si="2">I56</f>
        <v>69.900000000000006</v>
      </c>
      <c r="J55" s="288">
        <f t="shared" si="2"/>
        <v>80</v>
      </c>
      <c r="K55" s="317">
        <f t="shared" si="2"/>
        <v>50</v>
      </c>
      <c r="L55" s="317">
        <f t="shared" si="2"/>
        <v>0</v>
      </c>
      <c r="M55" s="317">
        <f t="shared" si="2"/>
        <v>0</v>
      </c>
      <c r="N55" s="388">
        <f t="shared" si="2"/>
        <v>20</v>
      </c>
    </row>
    <row r="56" spans="1:14" ht="26.25" customHeight="1">
      <c r="A56" s="314" t="s">
        <v>95</v>
      </c>
      <c r="B56" s="282" t="s">
        <v>313</v>
      </c>
      <c r="C56" s="283" t="s">
        <v>384</v>
      </c>
      <c r="D56" s="297" t="s">
        <v>237</v>
      </c>
      <c r="E56" s="297" t="s">
        <v>314</v>
      </c>
      <c r="F56" s="297"/>
      <c r="G56" s="283"/>
      <c r="H56" s="284">
        <v>80</v>
      </c>
      <c r="I56" s="284">
        <v>69.900000000000006</v>
      </c>
      <c r="J56" s="284">
        <v>80</v>
      </c>
      <c r="K56" s="307">
        <f>K58</f>
        <v>50</v>
      </c>
      <c r="L56" s="307">
        <f>L58</f>
        <v>0</v>
      </c>
      <c r="M56" s="307">
        <f>M58</f>
        <v>0</v>
      </c>
      <c r="N56" s="397">
        <f>N58</f>
        <v>20</v>
      </c>
    </row>
    <row r="57" spans="1:14" ht="21.75" customHeight="1">
      <c r="A57" s="315" t="s">
        <v>368</v>
      </c>
      <c r="B57" s="316" t="s">
        <v>292</v>
      </c>
      <c r="C57" s="287" t="s">
        <v>384</v>
      </c>
      <c r="D57" s="299" t="s">
        <v>237</v>
      </c>
      <c r="E57" s="299" t="s">
        <v>314</v>
      </c>
      <c r="F57" s="299" t="s">
        <v>293</v>
      </c>
      <c r="G57" s="283"/>
      <c r="H57" s="317">
        <f t="shared" ref="H57:J58" si="3">H58</f>
        <v>100</v>
      </c>
      <c r="I57" s="317">
        <f t="shared" si="3"/>
        <v>0</v>
      </c>
      <c r="J57" s="317">
        <f t="shared" si="3"/>
        <v>100</v>
      </c>
      <c r="K57" s="288">
        <v>50</v>
      </c>
      <c r="L57" s="317"/>
      <c r="M57" s="317">
        <v>0</v>
      </c>
      <c r="N57" s="264">
        <f>N58</f>
        <v>20</v>
      </c>
    </row>
    <row r="58" spans="1:14" ht="21" customHeight="1">
      <c r="A58" s="315" t="s">
        <v>369</v>
      </c>
      <c r="B58" s="286" t="s">
        <v>315</v>
      </c>
      <c r="C58" s="287" t="s">
        <v>384</v>
      </c>
      <c r="D58" s="299" t="s">
        <v>237</v>
      </c>
      <c r="E58" s="299" t="s">
        <v>314</v>
      </c>
      <c r="F58" s="299" t="s">
        <v>316</v>
      </c>
      <c r="G58" s="283"/>
      <c r="H58" s="317">
        <f t="shared" si="3"/>
        <v>100</v>
      </c>
      <c r="I58" s="317">
        <f t="shared" si="3"/>
        <v>0</v>
      </c>
      <c r="J58" s="317">
        <f t="shared" si="3"/>
        <v>100</v>
      </c>
      <c r="K58" s="288">
        <v>50</v>
      </c>
      <c r="L58" s="317"/>
      <c r="M58" s="317">
        <v>0</v>
      </c>
      <c r="N58" s="264">
        <v>20</v>
      </c>
    </row>
    <row r="59" spans="1:14" ht="22.5" customHeight="1">
      <c r="A59" s="293" t="s">
        <v>97</v>
      </c>
      <c r="B59" s="294" t="s">
        <v>238</v>
      </c>
      <c r="C59" s="283" t="s">
        <v>384</v>
      </c>
      <c r="D59" s="283" t="s">
        <v>239</v>
      </c>
      <c r="E59" s="283"/>
      <c r="F59" s="283"/>
      <c r="G59" s="287"/>
      <c r="H59" s="288">
        <v>100</v>
      </c>
      <c r="I59" s="288"/>
      <c r="J59" s="288">
        <v>100</v>
      </c>
      <c r="K59" s="317" t="e">
        <f>#REF!+#REF!+K69+K29+K78+K75</f>
        <v>#REF!</v>
      </c>
      <c r="L59" s="317" t="e">
        <f>#REF!+#REF!+L69+L29+L78+L75</f>
        <v>#REF!</v>
      </c>
      <c r="M59" s="317" t="e">
        <f>#REF!+#REF!+M69+M29+M78+M75</f>
        <v>#REF!</v>
      </c>
      <c r="N59" s="388">
        <f>N60+N66+N69+N72+N78+N75+N81+N84+N63</f>
        <v>1315.3999999999999</v>
      </c>
    </row>
    <row r="60" spans="1:14" ht="37.5" customHeight="1">
      <c r="A60" s="293" t="s">
        <v>400</v>
      </c>
      <c r="B60" s="294" t="s">
        <v>534</v>
      </c>
      <c r="C60" s="283" t="s">
        <v>384</v>
      </c>
      <c r="D60" s="283" t="s">
        <v>239</v>
      </c>
      <c r="E60" s="283" t="s">
        <v>319</v>
      </c>
      <c r="F60" s="283"/>
      <c r="G60" s="283"/>
      <c r="H60" s="284" t="e">
        <f>H62</f>
        <v>#REF!</v>
      </c>
      <c r="I60" s="284" t="e">
        <f t="shared" ref="I60:N60" si="4">I62</f>
        <v>#REF!</v>
      </c>
      <c r="J60" s="284" t="e">
        <f t="shared" si="4"/>
        <v>#REF!</v>
      </c>
      <c r="K60" s="284">
        <f t="shared" si="4"/>
        <v>400</v>
      </c>
      <c r="L60" s="284">
        <f t="shared" si="4"/>
        <v>323.89999999999998</v>
      </c>
      <c r="M60" s="284">
        <f t="shared" si="4"/>
        <v>400</v>
      </c>
      <c r="N60" s="276">
        <f t="shared" si="4"/>
        <v>632</v>
      </c>
    </row>
    <row r="61" spans="1:14" ht="27.75" customHeight="1">
      <c r="A61" s="295" t="s">
        <v>401</v>
      </c>
      <c r="B61" s="291" t="s">
        <v>288</v>
      </c>
      <c r="C61" s="287" t="s">
        <v>384</v>
      </c>
      <c r="D61" s="287" t="s">
        <v>239</v>
      </c>
      <c r="E61" s="287" t="s">
        <v>319</v>
      </c>
      <c r="F61" s="287" t="s">
        <v>289</v>
      </c>
      <c r="G61" s="287"/>
      <c r="H61" s="288" t="e">
        <f>#REF!+H62</f>
        <v>#REF!</v>
      </c>
      <c r="I61" s="288" t="e">
        <f>#REF!+I62</f>
        <v>#REF!</v>
      </c>
      <c r="J61" s="288" t="e">
        <f>#REF!+J62</f>
        <v>#REF!</v>
      </c>
      <c r="K61" s="288">
        <v>400</v>
      </c>
      <c r="L61" s="288">
        <v>323.89999999999998</v>
      </c>
      <c r="M61" s="288">
        <v>400</v>
      </c>
      <c r="N61" s="264">
        <f>N62</f>
        <v>632</v>
      </c>
    </row>
    <row r="62" spans="1:14" ht="27" customHeight="1">
      <c r="A62" s="295" t="s">
        <v>402</v>
      </c>
      <c r="B62" s="286" t="s">
        <v>290</v>
      </c>
      <c r="C62" s="287" t="s">
        <v>384</v>
      </c>
      <c r="D62" s="287" t="s">
        <v>239</v>
      </c>
      <c r="E62" s="287" t="s">
        <v>319</v>
      </c>
      <c r="F62" s="287" t="s">
        <v>291</v>
      </c>
      <c r="G62" s="287"/>
      <c r="H62" s="288" t="e">
        <f>#REF!+H78</f>
        <v>#REF!</v>
      </c>
      <c r="I62" s="288" t="e">
        <f>#REF!+I78</f>
        <v>#REF!</v>
      </c>
      <c r="J62" s="288" t="e">
        <f>#REF!+J78</f>
        <v>#REF!</v>
      </c>
      <c r="K62" s="288">
        <v>400</v>
      </c>
      <c r="L62" s="288">
        <v>323.89999999999998</v>
      </c>
      <c r="M62" s="288">
        <v>400</v>
      </c>
      <c r="N62" s="264">
        <v>632</v>
      </c>
    </row>
    <row r="63" spans="1:14" ht="41.25" customHeight="1">
      <c r="A63" s="303" t="s">
        <v>403</v>
      </c>
      <c r="B63" s="282" t="s">
        <v>317</v>
      </c>
      <c r="C63" s="283" t="s">
        <v>384</v>
      </c>
      <c r="D63" s="283" t="s">
        <v>239</v>
      </c>
      <c r="E63" s="283" t="s">
        <v>318</v>
      </c>
      <c r="F63" s="287"/>
      <c r="G63" s="287"/>
      <c r="H63" s="288"/>
      <c r="I63" s="288"/>
      <c r="J63" s="288"/>
      <c r="K63" s="288"/>
      <c r="L63" s="288"/>
      <c r="M63" s="288"/>
      <c r="N63" s="276">
        <f>N64</f>
        <v>91.4</v>
      </c>
    </row>
    <row r="64" spans="1:14" ht="25.9" customHeight="1">
      <c r="A64" s="295" t="s">
        <v>404</v>
      </c>
      <c r="B64" s="286" t="s">
        <v>311</v>
      </c>
      <c r="C64" s="287" t="s">
        <v>384</v>
      </c>
      <c r="D64" s="287" t="s">
        <v>239</v>
      </c>
      <c r="E64" s="287" t="s">
        <v>318</v>
      </c>
      <c r="F64" s="287" t="s">
        <v>289</v>
      </c>
      <c r="G64" s="287"/>
      <c r="H64" s="288"/>
      <c r="I64" s="288"/>
      <c r="J64" s="288"/>
      <c r="K64" s="288"/>
      <c r="L64" s="288"/>
      <c r="M64" s="288"/>
      <c r="N64" s="264">
        <f>N65</f>
        <v>91.4</v>
      </c>
    </row>
    <row r="65" spans="1:14" ht="27.6" customHeight="1">
      <c r="A65" s="295" t="s">
        <v>405</v>
      </c>
      <c r="B65" s="286" t="s">
        <v>312</v>
      </c>
      <c r="C65" s="287" t="s">
        <v>384</v>
      </c>
      <c r="D65" s="287" t="s">
        <v>239</v>
      </c>
      <c r="E65" s="287" t="s">
        <v>318</v>
      </c>
      <c r="F65" s="287" t="s">
        <v>291</v>
      </c>
      <c r="G65" s="287"/>
      <c r="H65" s="288"/>
      <c r="I65" s="288"/>
      <c r="J65" s="288"/>
      <c r="K65" s="288"/>
      <c r="L65" s="288"/>
      <c r="M65" s="288"/>
      <c r="N65" s="264">
        <v>91.4</v>
      </c>
    </row>
    <row r="66" spans="1:14" ht="51" customHeight="1">
      <c r="A66" s="293" t="s">
        <v>406</v>
      </c>
      <c r="B66" s="294" t="s">
        <v>320</v>
      </c>
      <c r="C66" s="297" t="s">
        <v>384</v>
      </c>
      <c r="D66" s="297" t="s">
        <v>239</v>
      </c>
      <c r="E66" s="297" t="s">
        <v>321</v>
      </c>
      <c r="F66" s="287"/>
      <c r="G66" s="287"/>
      <c r="H66" s="288"/>
      <c r="I66" s="288"/>
      <c r="J66" s="288"/>
      <c r="K66" s="288"/>
      <c r="L66" s="288"/>
      <c r="M66" s="288"/>
      <c r="N66" s="276">
        <f>N67</f>
        <v>8.8000000000000007</v>
      </c>
    </row>
    <row r="67" spans="1:14" ht="31.5" customHeight="1">
      <c r="A67" s="304" t="s">
        <v>407</v>
      </c>
      <c r="B67" s="291" t="s">
        <v>288</v>
      </c>
      <c r="C67" s="287" t="s">
        <v>384</v>
      </c>
      <c r="D67" s="287" t="s">
        <v>239</v>
      </c>
      <c r="E67" s="299" t="s">
        <v>321</v>
      </c>
      <c r="F67" s="287" t="s">
        <v>289</v>
      </c>
      <c r="G67" s="299" t="s">
        <v>386</v>
      </c>
      <c r="H67" s="305" t="e">
        <f>[3]роспись!H62</f>
        <v>#REF!</v>
      </c>
      <c r="I67" s="305"/>
      <c r="J67" s="305" t="s">
        <v>389</v>
      </c>
      <c r="K67" s="288" t="e">
        <f>K68+#REF!</f>
        <v>#REF!</v>
      </c>
      <c r="L67" s="288" t="e">
        <f>L68+#REF!</f>
        <v>#REF!</v>
      </c>
      <c r="M67" s="288" t="e">
        <f>M68+#REF!</f>
        <v>#REF!</v>
      </c>
      <c r="N67" s="264">
        <f>N68</f>
        <v>8.8000000000000007</v>
      </c>
    </row>
    <row r="68" spans="1:14" ht="30.75" customHeight="1">
      <c r="A68" s="304" t="s">
        <v>408</v>
      </c>
      <c r="B68" s="286" t="s">
        <v>290</v>
      </c>
      <c r="C68" s="287" t="s">
        <v>384</v>
      </c>
      <c r="D68" s="287" t="s">
        <v>239</v>
      </c>
      <c r="E68" s="299" t="s">
        <v>321</v>
      </c>
      <c r="F68" s="287" t="s">
        <v>291</v>
      </c>
      <c r="G68" s="299" t="s">
        <v>386</v>
      </c>
      <c r="H68" s="305">
        <f>[3]роспись!H63</f>
        <v>5320</v>
      </c>
      <c r="I68" s="305"/>
      <c r="J68" s="305" t="s">
        <v>389</v>
      </c>
      <c r="K68" s="288" t="e">
        <f>#REF!+#REF!</f>
        <v>#REF!</v>
      </c>
      <c r="L68" s="288" t="e">
        <f>#REF!+#REF!</f>
        <v>#REF!</v>
      </c>
      <c r="M68" s="288" t="e">
        <f>#REF!+#REF!</f>
        <v>#REF!</v>
      </c>
      <c r="N68" s="264">
        <v>8.8000000000000007</v>
      </c>
    </row>
    <row r="69" spans="1:14" ht="62.25" customHeight="1">
      <c r="A69" s="293" t="s">
        <v>409</v>
      </c>
      <c r="B69" s="294" t="s">
        <v>527</v>
      </c>
      <c r="C69" s="283" t="s">
        <v>384</v>
      </c>
      <c r="D69" s="283" t="s">
        <v>239</v>
      </c>
      <c r="E69" s="283" t="s">
        <v>325</v>
      </c>
      <c r="F69" s="283"/>
      <c r="G69" s="283"/>
      <c r="H69" s="284" t="e">
        <f>H71</f>
        <v>#REF!</v>
      </c>
      <c r="I69" s="284" t="e">
        <f t="shared" ref="I69:N69" si="5">I71</f>
        <v>#REF!</v>
      </c>
      <c r="J69" s="284" t="e">
        <f t="shared" si="5"/>
        <v>#REF!</v>
      </c>
      <c r="K69" s="284">
        <f t="shared" si="5"/>
        <v>400</v>
      </c>
      <c r="L69" s="284">
        <f t="shared" si="5"/>
        <v>323.89999999999998</v>
      </c>
      <c r="M69" s="284">
        <f t="shared" si="5"/>
        <v>400</v>
      </c>
      <c r="N69" s="388">
        <f t="shared" si="5"/>
        <v>480.4</v>
      </c>
    </row>
    <row r="70" spans="1:14" ht="26.45" customHeight="1">
      <c r="A70" s="295" t="s">
        <v>410</v>
      </c>
      <c r="B70" s="291" t="s">
        <v>288</v>
      </c>
      <c r="C70" s="287" t="s">
        <v>384</v>
      </c>
      <c r="D70" s="287" t="s">
        <v>239</v>
      </c>
      <c r="E70" s="287" t="s">
        <v>325</v>
      </c>
      <c r="F70" s="287" t="s">
        <v>289</v>
      </c>
      <c r="G70" s="287"/>
      <c r="H70" s="288" t="e">
        <f>#REF!+H71</f>
        <v>#REF!</v>
      </c>
      <c r="I70" s="288" t="e">
        <f>#REF!+I71</f>
        <v>#REF!</v>
      </c>
      <c r="J70" s="288" t="e">
        <f>#REF!+J71</f>
        <v>#REF!</v>
      </c>
      <c r="K70" s="288">
        <v>400</v>
      </c>
      <c r="L70" s="288">
        <v>323.89999999999998</v>
      </c>
      <c r="M70" s="288">
        <v>400</v>
      </c>
      <c r="N70" s="264">
        <f>N71</f>
        <v>480.4</v>
      </c>
    </row>
    <row r="71" spans="1:14" ht="28.5" customHeight="1">
      <c r="A71" s="295" t="s">
        <v>411</v>
      </c>
      <c r="B71" s="286" t="s">
        <v>290</v>
      </c>
      <c r="C71" s="287" t="s">
        <v>384</v>
      </c>
      <c r="D71" s="287" t="s">
        <v>239</v>
      </c>
      <c r="E71" s="287" t="s">
        <v>325</v>
      </c>
      <c r="F71" s="287" t="s">
        <v>291</v>
      </c>
      <c r="G71" s="287"/>
      <c r="H71" s="288" t="e">
        <f>#REF!+H29</f>
        <v>#REF!</v>
      </c>
      <c r="I71" s="288" t="e">
        <f>#REF!+I29</f>
        <v>#REF!</v>
      </c>
      <c r="J71" s="288" t="e">
        <f>#REF!+J29</f>
        <v>#REF!</v>
      </c>
      <c r="K71" s="288">
        <v>400</v>
      </c>
      <c r="L71" s="288">
        <v>323.89999999999998</v>
      </c>
      <c r="M71" s="288">
        <v>400</v>
      </c>
      <c r="N71" s="264">
        <v>480.4</v>
      </c>
    </row>
    <row r="72" spans="1:14" ht="50.25" customHeight="1">
      <c r="A72" s="293" t="s">
        <v>412</v>
      </c>
      <c r="B72" s="294" t="s">
        <v>326</v>
      </c>
      <c r="C72" s="283" t="s">
        <v>384</v>
      </c>
      <c r="D72" s="283" t="s">
        <v>239</v>
      </c>
      <c r="E72" s="283" t="s">
        <v>327</v>
      </c>
      <c r="F72" s="283"/>
      <c r="G72" s="287"/>
      <c r="H72" s="288">
        <f>H74</f>
        <v>70</v>
      </c>
      <c r="I72" s="288">
        <f t="shared" ref="I72:N72" si="6">I74</f>
        <v>0</v>
      </c>
      <c r="J72" s="288">
        <f t="shared" si="6"/>
        <v>20</v>
      </c>
      <c r="K72" s="284">
        <f t="shared" si="6"/>
        <v>60</v>
      </c>
      <c r="L72" s="284">
        <f t="shared" si="6"/>
        <v>30</v>
      </c>
      <c r="M72" s="284">
        <f t="shared" si="6"/>
        <v>60</v>
      </c>
      <c r="N72" s="388">
        <f t="shared" si="6"/>
        <v>20</v>
      </c>
    </row>
    <row r="73" spans="1:14" ht="31.9" customHeight="1">
      <c r="A73" s="295" t="s">
        <v>413</v>
      </c>
      <c r="B73" s="291" t="s">
        <v>288</v>
      </c>
      <c r="C73" s="287" t="s">
        <v>384</v>
      </c>
      <c r="D73" s="287" t="s">
        <v>239</v>
      </c>
      <c r="E73" s="287" t="s">
        <v>327</v>
      </c>
      <c r="F73" s="287" t="s">
        <v>289</v>
      </c>
      <c r="G73" s="287"/>
      <c r="H73" s="288">
        <v>70</v>
      </c>
      <c r="I73" s="288"/>
      <c r="J73" s="288">
        <v>20</v>
      </c>
      <c r="K73" s="288">
        <v>60</v>
      </c>
      <c r="L73" s="288">
        <v>30</v>
      </c>
      <c r="M73" s="288">
        <v>60</v>
      </c>
      <c r="N73" s="264">
        <v>20</v>
      </c>
    </row>
    <row r="74" spans="1:14" ht="26.25" customHeight="1">
      <c r="A74" s="295" t="s">
        <v>414</v>
      </c>
      <c r="B74" s="286" t="s">
        <v>290</v>
      </c>
      <c r="C74" s="287" t="s">
        <v>384</v>
      </c>
      <c r="D74" s="287" t="s">
        <v>239</v>
      </c>
      <c r="E74" s="287" t="s">
        <v>327</v>
      </c>
      <c r="F74" s="287" t="s">
        <v>291</v>
      </c>
      <c r="G74" s="287"/>
      <c r="H74" s="288">
        <v>70</v>
      </c>
      <c r="I74" s="288"/>
      <c r="J74" s="288">
        <v>20</v>
      </c>
      <c r="K74" s="288">
        <v>60</v>
      </c>
      <c r="L74" s="288">
        <v>30</v>
      </c>
      <c r="M74" s="288">
        <v>60</v>
      </c>
      <c r="N74" s="264">
        <v>20</v>
      </c>
    </row>
    <row r="75" spans="1:14" ht="57.75" customHeight="1">
      <c r="A75" s="293" t="s">
        <v>415</v>
      </c>
      <c r="B75" s="294" t="s">
        <v>535</v>
      </c>
      <c r="C75" s="283" t="s">
        <v>384</v>
      </c>
      <c r="D75" s="283" t="s">
        <v>239</v>
      </c>
      <c r="E75" s="283" t="s">
        <v>328</v>
      </c>
      <c r="F75" s="283"/>
      <c r="G75" s="287"/>
      <c r="H75" s="288"/>
      <c r="I75" s="288"/>
      <c r="J75" s="288"/>
      <c r="K75" s="335">
        <f>K77</f>
        <v>170</v>
      </c>
      <c r="L75" s="335">
        <f>L77</f>
        <v>150</v>
      </c>
      <c r="M75" s="335">
        <f>M77</f>
        <v>170</v>
      </c>
      <c r="N75" s="398">
        <f>N77</f>
        <v>14</v>
      </c>
    </row>
    <row r="76" spans="1:14" ht="28.5" customHeight="1">
      <c r="A76" s="295" t="s">
        <v>416</v>
      </c>
      <c r="B76" s="291" t="s">
        <v>288</v>
      </c>
      <c r="C76" s="287" t="s">
        <v>384</v>
      </c>
      <c r="D76" s="287" t="s">
        <v>239</v>
      </c>
      <c r="E76" s="287" t="s">
        <v>328</v>
      </c>
      <c r="F76" s="287" t="s">
        <v>289</v>
      </c>
      <c r="G76" s="287"/>
      <c r="H76" s="288"/>
      <c r="I76" s="288"/>
      <c r="J76" s="288"/>
      <c r="K76" s="288">
        <v>170</v>
      </c>
      <c r="L76" s="288">
        <v>150</v>
      </c>
      <c r="M76" s="288">
        <v>170</v>
      </c>
      <c r="N76" s="264">
        <f>N77</f>
        <v>14</v>
      </c>
    </row>
    <row r="77" spans="1:14" ht="27" customHeight="1">
      <c r="A77" s="295" t="s">
        <v>417</v>
      </c>
      <c r="B77" s="286" t="s">
        <v>290</v>
      </c>
      <c r="C77" s="287" t="s">
        <v>384</v>
      </c>
      <c r="D77" s="287" t="s">
        <v>239</v>
      </c>
      <c r="E77" s="287" t="s">
        <v>328</v>
      </c>
      <c r="F77" s="287" t="s">
        <v>291</v>
      </c>
      <c r="G77" s="287"/>
      <c r="H77" s="288"/>
      <c r="I77" s="288"/>
      <c r="J77" s="288"/>
      <c r="K77" s="288">
        <v>170</v>
      </c>
      <c r="L77" s="288">
        <v>150</v>
      </c>
      <c r="M77" s="288">
        <v>170</v>
      </c>
      <c r="N77" s="264">
        <v>14</v>
      </c>
    </row>
    <row r="78" spans="1:14" ht="77.25" customHeight="1" thickBot="1">
      <c r="A78" s="293" t="s">
        <v>418</v>
      </c>
      <c r="B78" s="294" t="s">
        <v>530</v>
      </c>
      <c r="C78" s="283" t="s">
        <v>384</v>
      </c>
      <c r="D78" s="283" t="s">
        <v>239</v>
      </c>
      <c r="E78" s="283" t="s">
        <v>499</v>
      </c>
      <c r="F78" s="283"/>
      <c r="G78" s="283"/>
      <c r="H78" s="284" t="e">
        <f>H80+H88+#REF!+#REF!</f>
        <v>#REF!</v>
      </c>
      <c r="I78" s="284" t="e">
        <f>I80+I88+#REF!+#REF!</f>
        <v>#REF!</v>
      </c>
      <c r="J78" s="284" t="e">
        <f>J80+J88+#REF!+#REF!</f>
        <v>#REF!</v>
      </c>
      <c r="K78" s="284">
        <f>K80</f>
        <v>92</v>
      </c>
      <c r="L78" s="284">
        <f>L80</f>
        <v>48.2</v>
      </c>
      <c r="M78" s="284">
        <f>M80</f>
        <v>92</v>
      </c>
      <c r="N78" s="388">
        <f>N80</f>
        <v>34</v>
      </c>
    </row>
    <row r="79" spans="1:14" ht="35.25" customHeight="1" thickBot="1">
      <c r="A79" s="295" t="s">
        <v>419</v>
      </c>
      <c r="B79" s="291" t="s">
        <v>288</v>
      </c>
      <c r="C79" s="287" t="s">
        <v>384</v>
      </c>
      <c r="D79" s="242" t="s">
        <v>239</v>
      </c>
      <c r="E79" s="242" t="s">
        <v>499</v>
      </c>
      <c r="F79" s="287" t="s">
        <v>289</v>
      </c>
      <c r="G79" s="287"/>
      <c r="H79" s="288"/>
      <c r="I79" s="288"/>
      <c r="J79" s="288"/>
      <c r="K79" s="288">
        <v>92</v>
      </c>
      <c r="L79" s="288">
        <v>48.2</v>
      </c>
      <c r="M79" s="288">
        <v>92</v>
      </c>
      <c r="N79" s="264">
        <f>N80</f>
        <v>34</v>
      </c>
    </row>
    <row r="80" spans="1:14" ht="33.75" customHeight="1" thickBot="1">
      <c r="A80" s="295" t="s">
        <v>420</v>
      </c>
      <c r="B80" s="286" t="s">
        <v>290</v>
      </c>
      <c r="C80" s="287" t="s">
        <v>384</v>
      </c>
      <c r="D80" s="242" t="s">
        <v>239</v>
      </c>
      <c r="E80" s="242" t="s">
        <v>499</v>
      </c>
      <c r="F80" s="287" t="s">
        <v>291</v>
      </c>
      <c r="G80" s="287"/>
      <c r="H80" s="288"/>
      <c r="I80" s="288"/>
      <c r="J80" s="288"/>
      <c r="K80" s="288">
        <v>92</v>
      </c>
      <c r="L80" s="288">
        <v>48.2</v>
      </c>
      <c r="M80" s="288">
        <v>92</v>
      </c>
      <c r="N80" s="264">
        <v>34</v>
      </c>
    </row>
    <row r="81" spans="1:16" ht="70.5" customHeight="1" thickBot="1">
      <c r="A81" s="303" t="s">
        <v>421</v>
      </c>
      <c r="B81" s="294" t="s">
        <v>542</v>
      </c>
      <c r="C81" s="283" t="s">
        <v>384</v>
      </c>
      <c r="D81" s="240" t="s">
        <v>239</v>
      </c>
      <c r="E81" s="240" t="s">
        <v>500</v>
      </c>
      <c r="F81" s="283"/>
      <c r="G81" s="283"/>
      <c r="H81" s="284" t="e">
        <f>H83+H89+#REF!+#REF!</f>
        <v>#REF!</v>
      </c>
      <c r="I81" s="284" t="e">
        <f>I83+I89+#REF!+#REF!</f>
        <v>#REF!</v>
      </c>
      <c r="J81" s="284" t="e">
        <f>J83+J89+#REF!+#REF!</f>
        <v>#REF!</v>
      </c>
      <c r="K81" s="284">
        <f>K83</f>
        <v>92</v>
      </c>
      <c r="L81" s="284">
        <f>L83</f>
        <v>48.2</v>
      </c>
      <c r="M81" s="284">
        <f>M83</f>
        <v>92</v>
      </c>
      <c r="N81" s="388">
        <f>N83</f>
        <v>0</v>
      </c>
    </row>
    <row r="82" spans="1:16" ht="30.75" customHeight="1" thickBot="1">
      <c r="A82" s="295" t="s">
        <v>422</v>
      </c>
      <c r="B82" s="291" t="s">
        <v>288</v>
      </c>
      <c r="C82" s="287" t="s">
        <v>384</v>
      </c>
      <c r="D82" s="242" t="s">
        <v>239</v>
      </c>
      <c r="E82" s="242" t="s">
        <v>500</v>
      </c>
      <c r="F82" s="287" t="s">
        <v>289</v>
      </c>
      <c r="G82" s="287"/>
      <c r="H82" s="288"/>
      <c r="I82" s="288"/>
      <c r="J82" s="288"/>
      <c r="K82" s="288">
        <v>92</v>
      </c>
      <c r="L82" s="288">
        <v>48.2</v>
      </c>
      <c r="M82" s="288">
        <v>92</v>
      </c>
      <c r="N82" s="264">
        <f>N83</f>
        <v>0</v>
      </c>
    </row>
    <row r="83" spans="1:16" ht="36" customHeight="1" thickBot="1">
      <c r="A83" s="295" t="s">
        <v>423</v>
      </c>
      <c r="B83" s="286" t="s">
        <v>290</v>
      </c>
      <c r="C83" s="287" t="s">
        <v>384</v>
      </c>
      <c r="D83" s="242" t="s">
        <v>239</v>
      </c>
      <c r="E83" s="242" t="s">
        <v>500</v>
      </c>
      <c r="F83" s="287" t="s">
        <v>291</v>
      </c>
      <c r="G83" s="287"/>
      <c r="H83" s="288"/>
      <c r="I83" s="288"/>
      <c r="J83" s="288"/>
      <c r="K83" s="288">
        <v>92</v>
      </c>
      <c r="L83" s="288">
        <v>48.2</v>
      </c>
      <c r="M83" s="288">
        <v>92</v>
      </c>
      <c r="N83" s="264">
        <v>0</v>
      </c>
    </row>
    <row r="84" spans="1:16" ht="179.25" customHeight="1" thickBot="1">
      <c r="A84" s="303" t="s">
        <v>424</v>
      </c>
      <c r="B84" s="383" t="s">
        <v>536</v>
      </c>
      <c r="C84" s="283" t="s">
        <v>384</v>
      </c>
      <c r="D84" s="283" t="s">
        <v>239</v>
      </c>
      <c r="E84" s="283" t="s">
        <v>501</v>
      </c>
      <c r="F84" s="283"/>
      <c r="G84" s="283"/>
      <c r="H84" s="284"/>
      <c r="I84" s="284"/>
      <c r="J84" s="284"/>
      <c r="K84" s="284"/>
      <c r="L84" s="284"/>
      <c r="M84" s="284"/>
      <c r="N84" s="388">
        <f>N85</f>
        <v>34.799999999999997</v>
      </c>
    </row>
    <row r="85" spans="1:16" ht="33.75" customHeight="1" thickBot="1">
      <c r="A85" s="295" t="s">
        <v>425</v>
      </c>
      <c r="B85" s="291" t="s">
        <v>288</v>
      </c>
      <c r="C85" s="287" t="s">
        <v>384</v>
      </c>
      <c r="D85" s="242" t="s">
        <v>239</v>
      </c>
      <c r="E85" s="242" t="s">
        <v>501</v>
      </c>
      <c r="F85" s="287" t="s">
        <v>289</v>
      </c>
      <c r="G85" s="287"/>
      <c r="H85" s="288"/>
      <c r="I85" s="288"/>
      <c r="J85" s="288"/>
      <c r="K85" s="288"/>
      <c r="L85" s="288"/>
      <c r="M85" s="288"/>
      <c r="N85" s="264">
        <f>N86</f>
        <v>34.799999999999997</v>
      </c>
    </row>
    <row r="86" spans="1:16" ht="29.25" customHeight="1" thickBot="1">
      <c r="A86" s="295" t="s">
        <v>426</v>
      </c>
      <c r="B86" s="286" t="s">
        <v>290</v>
      </c>
      <c r="C86" s="287" t="s">
        <v>384</v>
      </c>
      <c r="D86" s="242" t="s">
        <v>239</v>
      </c>
      <c r="E86" s="242" t="s">
        <v>501</v>
      </c>
      <c r="F86" s="287" t="s">
        <v>291</v>
      </c>
      <c r="G86" s="287"/>
      <c r="H86" s="288"/>
      <c r="I86" s="288"/>
      <c r="J86" s="288"/>
      <c r="K86" s="288"/>
      <c r="L86" s="288"/>
      <c r="M86" s="288"/>
      <c r="N86" s="393">
        <v>34.799999999999997</v>
      </c>
    </row>
    <row r="87" spans="1:16" ht="30" customHeight="1" thickBot="1">
      <c r="A87" s="303" t="s">
        <v>427</v>
      </c>
      <c r="B87" s="382" t="s">
        <v>512</v>
      </c>
      <c r="C87" s="283" t="s">
        <v>384</v>
      </c>
      <c r="D87" s="283" t="s">
        <v>240</v>
      </c>
      <c r="E87" s="283"/>
      <c r="F87" s="283"/>
      <c r="G87" s="283"/>
      <c r="H87" s="284" t="e">
        <f>H88+#REF!+H91+H98</f>
        <v>#REF!</v>
      </c>
      <c r="I87" s="284" t="e">
        <f>I88+#REF!+I91+I98</f>
        <v>#REF!</v>
      </c>
      <c r="J87" s="284" t="e">
        <f>J88+#REF!+J91+J98</f>
        <v>#REF!</v>
      </c>
      <c r="K87" s="284" t="e">
        <f>K88</f>
        <v>#REF!</v>
      </c>
      <c r="L87" s="284" t="e">
        <f>L88</f>
        <v>#REF!</v>
      </c>
      <c r="M87" s="284" t="e">
        <f>M88</f>
        <v>#REF!</v>
      </c>
      <c r="N87" s="262">
        <f>N88</f>
        <v>180</v>
      </c>
    </row>
    <row r="88" spans="1:16" ht="21" customHeight="1" thickBot="1">
      <c r="A88" s="303" t="s">
        <v>103</v>
      </c>
      <c r="B88" s="294" t="s">
        <v>241</v>
      </c>
      <c r="C88" s="283" t="s">
        <v>384</v>
      </c>
      <c r="D88" s="283" t="s">
        <v>242</v>
      </c>
      <c r="E88" s="283"/>
      <c r="F88" s="283"/>
      <c r="G88" s="283"/>
      <c r="H88" s="284" t="e">
        <f>#REF!</f>
        <v>#REF!</v>
      </c>
      <c r="I88" s="284" t="e">
        <f>#REF!</f>
        <v>#REF!</v>
      </c>
      <c r="J88" s="284" t="e">
        <f>#REF!</f>
        <v>#REF!</v>
      </c>
      <c r="K88" s="284" t="e">
        <f>#REF!+#REF!</f>
        <v>#REF!</v>
      </c>
      <c r="L88" s="284" t="e">
        <f>#REF!+#REF!</f>
        <v>#REF!</v>
      </c>
      <c r="M88" s="284" t="e">
        <f>#REF!+#REF!</f>
        <v>#REF!</v>
      </c>
      <c r="N88" s="275">
        <f>N89</f>
        <v>180</v>
      </c>
    </row>
    <row r="89" spans="1:16" ht="63.75" customHeight="1">
      <c r="A89" s="303" t="s">
        <v>428</v>
      </c>
      <c r="B89" s="294" t="s">
        <v>543</v>
      </c>
      <c r="C89" s="283" t="s">
        <v>384</v>
      </c>
      <c r="D89" s="283" t="s">
        <v>242</v>
      </c>
      <c r="E89" s="283" t="s">
        <v>329</v>
      </c>
      <c r="F89" s="283"/>
      <c r="G89" s="283"/>
      <c r="H89" s="284" t="e">
        <f>[3]роспись!H66</f>
        <v>#REF!</v>
      </c>
      <c r="I89" s="284">
        <v>3277.5</v>
      </c>
      <c r="J89" s="284">
        <v>5320</v>
      </c>
      <c r="K89" s="284" t="e">
        <f>K98</f>
        <v>#REF!</v>
      </c>
      <c r="L89" s="284" t="e">
        <f>L98</f>
        <v>#REF!</v>
      </c>
      <c r="M89" s="284" t="e">
        <f>M98</f>
        <v>#REF!</v>
      </c>
      <c r="N89" s="276">
        <f>N90</f>
        <v>180</v>
      </c>
    </row>
    <row r="90" spans="1:16" ht="30.75" customHeight="1">
      <c r="A90" s="295" t="s">
        <v>429</v>
      </c>
      <c r="B90" s="291" t="s">
        <v>288</v>
      </c>
      <c r="C90" s="287" t="s">
        <v>384</v>
      </c>
      <c r="D90" s="287" t="s">
        <v>242</v>
      </c>
      <c r="E90" s="287" t="s">
        <v>329</v>
      </c>
      <c r="F90" s="287" t="s">
        <v>289</v>
      </c>
      <c r="G90" s="287"/>
      <c r="H90" s="288" t="e">
        <f>#REF!</f>
        <v>#REF!</v>
      </c>
      <c r="I90" s="288" t="e">
        <f>#REF!</f>
        <v>#REF!</v>
      </c>
      <c r="J90" s="288" t="e">
        <f>#REF!</f>
        <v>#REF!</v>
      </c>
      <c r="K90" s="288">
        <v>18</v>
      </c>
      <c r="L90" s="288">
        <v>0</v>
      </c>
      <c r="M90" s="288">
        <v>18</v>
      </c>
      <c r="N90" s="399">
        <f>N91</f>
        <v>180</v>
      </c>
    </row>
    <row r="91" spans="1:16" ht="29.25" customHeight="1" thickBot="1">
      <c r="A91" s="295" t="s">
        <v>430</v>
      </c>
      <c r="B91" s="286" t="s">
        <v>290</v>
      </c>
      <c r="C91" s="287" t="s">
        <v>384</v>
      </c>
      <c r="D91" s="287" t="s">
        <v>242</v>
      </c>
      <c r="E91" s="287" t="s">
        <v>329</v>
      </c>
      <c r="F91" s="287" t="s">
        <v>291</v>
      </c>
      <c r="G91" s="287"/>
      <c r="H91" s="288">
        <f>H97</f>
        <v>668</v>
      </c>
      <c r="I91" s="288">
        <f>I97</f>
        <v>480</v>
      </c>
      <c r="J91" s="288">
        <f>J97</f>
        <v>668</v>
      </c>
      <c r="K91" s="288">
        <v>18</v>
      </c>
      <c r="L91" s="288">
        <v>0</v>
      </c>
      <c r="M91" s="288">
        <v>18</v>
      </c>
      <c r="N91" s="393">
        <v>180</v>
      </c>
    </row>
    <row r="92" spans="1:16" ht="27.75" customHeight="1" thickBot="1">
      <c r="A92" s="303" t="s">
        <v>431</v>
      </c>
      <c r="B92" s="382" t="s">
        <v>513</v>
      </c>
      <c r="C92" s="283" t="s">
        <v>384</v>
      </c>
      <c r="D92" s="283" t="s">
        <v>243</v>
      </c>
      <c r="E92" s="283"/>
      <c r="F92" s="283"/>
      <c r="G92" s="283"/>
      <c r="H92" s="284"/>
      <c r="I92" s="284"/>
      <c r="J92" s="284"/>
      <c r="K92" s="284"/>
      <c r="L92" s="284"/>
      <c r="M92" s="284"/>
      <c r="N92" s="262">
        <f>N93+N97+N103</f>
        <v>73866.5</v>
      </c>
    </row>
    <row r="93" spans="1:16" ht="23.25" customHeight="1" thickBot="1">
      <c r="A93" s="303" t="s">
        <v>119</v>
      </c>
      <c r="B93" s="282" t="s">
        <v>244</v>
      </c>
      <c r="C93" s="283" t="s">
        <v>384</v>
      </c>
      <c r="D93" s="283" t="s">
        <v>245</v>
      </c>
      <c r="E93" s="283"/>
      <c r="F93" s="283"/>
      <c r="G93" s="287"/>
      <c r="H93" s="288">
        <f>[3]роспись!H63</f>
        <v>5320</v>
      </c>
      <c r="I93" s="288">
        <v>480</v>
      </c>
      <c r="J93" s="288">
        <v>668</v>
      </c>
      <c r="K93" s="284" t="e">
        <f>K94</f>
        <v>#REF!</v>
      </c>
      <c r="L93" s="284" t="e">
        <f>L94</f>
        <v>#REF!</v>
      </c>
      <c r="M93" s="284" t="e">
        <f>M94</f>
        <v>#REF!</v>
      </c>
      <c r="N93" s="394">
        <f>N95</f>
        <v>318.2</v>
      </c>
      <c r="P93" s="136"/>
    </row>
    <row r="94" spans="1:16" ht="119.25" customHeight="1" thickBot="1">
      <c r="A94" s="303" t="s">
        <v>122</v>
      </c>
      <c r="B94" s="383" t="s">
        <v>544</v>
      </c>
      <c r="C94" s="325">
        <v>993</v>
      </c>
      <c r="D94" s="283" t="s">
        <v>245</v>
      </c>
      <c r="E94" s="283" t="s">
        <v>432</v>
      </c>
      <c r="F94" s="283"/>
      <c r="G94" s="283"/>
      <c r="H94" s="284" t="e">
        <f>#REF!</f>
        <v>#REF!</v>
      </c>
      <c r="I94" s="284" t="e">
        <f>#REF!</f>
        <v>#REF!</v>
      </c>
      <c r="J94" s="284" t="e">
        <f>#REF!</f>
        <v>#REF!</v>
      </c>
      <c r="K94" s="284" t="e">
        <f>#REF!+#REF!</f>
        <v>#REF!</v>
      </c>
      <c r="L94" s="284" t="e">
        <f>#REF!+#REF!</f>
        <v>#REF!</v>
      </c>
      <c r="M94" s="284" t="e">
        <f>#REF!+#REF!</f>
        <v>#REF!</v>
      </c>
      <c r="N94" s="276">
        <f>N95</f>
        <v>318.2</v>
      </c>
    </row>
    <row r="95" spans="1:16" ht="31.15" customHeight="1" thickBot="1">
      <c r="A95" s="295" t="s">
        <v>125</v>
      </c>
      <c r="B95" s="286" t="s">
        <v>330</v>
      </c>
      <c r="C95" s="326">
        <v>993</v>
      </c>
      <c r="D95" s="287" t="s">
        <v>245</v>
      </c>
      <c r="E95" s="287" t="s">
        <v>432</v>
      </c>
      <c r="F95" s="287" t="s">
        <v>293</v>
      </c>
      <c r="G95" s="287"/>
      <c r="H95" s="288"/>
      <c r="I95" s="288"/>
      <c r="J95" s="288"/>
      <c r="K95" s="288"/>
      <c r="L95" s="288"/>
      <c r="M95" s="288"/>
      <c r="N95" s="264">
        <f>N96</f>
        <v>318.2</v>
      </c>
    </row>
    <row r="96" spans="1:16" ht="48.75" customHeight="1">
      <c r="A96" s="295" t="s">
        <v>433</v>
      </c>
      <c r="B96" s="286" t="s">
        <v>332</v>
      </c>
      <c r="C96" s="326">
        <v>993</v>
      </c>
      <c r="D96" s="287" t="s">
        <v>245</v>
      </c>
      <c r="E96" s="287" t="s">
        <v>432</v>
      </c>
      <c r="F96" s="287" t="s">
        <v>333</v>
      </c>
      <c r="G96" s="287"/>
      <c r="H96" s="288"/>
      <c r="I96" s="288"/>
      <c r="J96" s="288"/>
      <c r="K96" s="288"/>
      <c r="L96" s="288"/>
      <c r="M96" s="288"/>
      <c r="N96" s="264">
        <v>318.2</v>
      </c>
    </row>
    <row r="97" spans="1:23" ht="23.25" customHeight="1">
      <c r="A97" s="303" t="s">
        <v>131</v>
      </c>
      <c r="B97" s="282" t="s">
        <v>246</v>
      </c>
      <c r="C97" s="283" t="s">
        <v>384</v>
      </c>
      <c r="D97" s="283" t="s">
        <v>247</v>
      </c>
      <c r="E97" s="283"/>
      <c r="F97" s="283"/>
      <c r="G97" s="287"/>
      <c r="H97" s="288">
        <f>[3]роспись!H68</f>
        <v>668</v>
      </c>
      <c r="I97" s="288">
        <v>480</v>
      </c>
      <c r="J97" s="288">
        <v>668</v>
      </c>
      <c r="K97" s="284" t="e">
        <f>K98</f>
        <v>#REF!</v>
      </c>
      <c r="L97" s="284" t="e">
        <f>L98</f>
        <v>#REF!</v>
      </c>
      <c r="M97" s="284" t="e">
        <f>M98</f>
        <v>#REF!</v>
      </c>
      <c r="N97" s="388">
        <f>N98</f>
        <v>73518.3</v>
      </c>
    </row>
    <row r="98" spans="1:23" ht="63.75" customHeight="1">
      <c r="A98" s="303" t="s">
        <v>134</v>
      </c>
      <c r="B98" s="282" t="s">
        <v>565</v>
      </c>
      <c r="C98" s="325">
        <v>993</v>
      </c>
      <c r="D98" s="283" t="s">
        <v>247</v>
      </c>
      <c r="E98" s="283" t="s">
        <v>334</v>
      </c>
      <c r="F98" s="283"/>
      <c r="G98" s="283"/>
      <c r="H98" s="284">
        <f>H100</f>
        <v>796</v>
      </c>
      <c r="I98" s="284">
        <f>I100</f>
        <v>459.2</v>
      </c>
      <c r="J98" s="284">
        <f>J100</f>
        <v>796</v>
      </c>
      <c r="K98" s="284" t="e">
        <f>K100+#REF!</f>
        <v>#REF!</v>
      </c>
      <c r="L98" s="284" t="e">
        <f>L100+#REF!</f>
        <v>#REF!</v>
      </c>
      <c r="M98" s="284" t="e">
        <f>M100+#REF!</f>
        <v>#REF!</v>
      </c>
      <c r="N98" s="276">
        <f>N99+N101</f>
        <v>73518.3</v>
      </c>
    </row>
    <row r="99" spans="1:23" ht="27" customHeight="1">
      <c r="A99" s="295" t="s">
        <v>434</v>
      </c>
      <c r="B99" s="291" t="s">
        <v>288</v>
      </c>
      <c r="C99" s="326">
        <v>993</v>
      </c>
      <c r="D99" s="287" t="s">
        <v>247</v>
      </c>
      <c r="E99" s="287" t="s">
        <v>334</v>
      </c>
      <c r="F99" s="287" t="s">
        <v>289</v>
      </c>
      <c r="G99" s="287"/>
      <c r="H99" s="288" t="e">
        <f>[3]роспись!H69</f>
        <v>#REF!</v>
      </c>
      <c r="I99" s="288">
        <v>459.2</v>
      </c>
      <c r="J99" s="288">
        <v>796</v>
      </c>
      <c r="K99" s="288">
        <f>6469.6+600</f>
        <v>7069.6</v>
      </c>
      <c r="L99" s="288">
        <v>2772.6</v>
      </c>
      <c r="M99" s="288">
        <v>7069.6</v>
      </c>
      <c r="N99" s="264">
        <f>N100</f>
        <v>73508.3</v>
      </c>
    </row>
    <row r="100" spans="1:23" ht="27" customHeight="1">
      <c r="A100" s="295" t="s">
        <v>435</v>
      </c>
      <c r="B100" s="286" t="s">
        <v>290</v>
      </c>
      <c r="C100" s="326">
        <v>993</v>
      </c>
      <c r="D100" s="287" t="s">
        <v>247</v>
      </c>
      <c r="E100" s="287" t="s">
        <v>334</v>
      </c>
      <c r="F100" s="287" t="s">
        <v>291</v>
      </c>
      <c r="G100" s="287"/>
      <c r="H100" s="288">
        <f>[3]роспись!H70</f>
        <v>796</v>
      </c>
      <c r="I100" s="288">
        <v>459.2</v>
      </c>
      <c r="J100" s="288">
        <v>796</v>
      </c>
      <c r="K100" s="288">
        <f>6469.6+600</f>
        <v>7069.6</v>
      </c>
      <c r="L100" s="288">
        <v>2772.6</v>
      </c>
      <c r="M100" s="288">
        <v>7069.6</v>
      </c>
      <c r="N100" s="264">
        <v>73508.3</v>
      </c>
    </row>
    <row r="101" spans="1:23" ht="20.45" customHeight="1">
      <c r="A101" s="295" t="s">
        <v>436</v>
      </c>
      <c r="B101" s="292" t="s">
        <v>335</v>
      </c>
      <c r="C101" s="326">
        <v>993</v>
      </c>
      <c r="D101" s="287" t="s">
        <v>247</v>
      </c>
      <c r="E101" s="287" t="s">
        <v>334</v>
      </c>
      <c r="F101" s="287" t="s">
        <v>293</v>
      </c>
      <c r="G101" s="287"/>
      <c r="H101" s="288"/>
      <c r="I101" s="288"/>
      <c r="J101" s="288"/>
      <c r="K101" s="288"/>
      <c r="L101" s="288"/>
      <c r="M101" s="288"/>
      <c r="N101" s="264">
        <f>N102</f>
        <v>10</v>
      </c>
    </row>
    <row r="102" spans="1:23" ht="25.5" customHeight="1">
      <c r="A102" s="295" t="s">
        <v>437</v>
      </c>
      <c r="B102" s="286" t="s">
        <v>336</v>
      </c>
      <c r="C102" s="326">
        <v>993</v>
      </c>
      <c r="D102" s="287" t="s">
        <v>247</v>
      </c>
      <c r="E102" s="287" t="s">
        <v>334</v>
      </c>
      <c r="F102" s="287" t="s">
        <v>295</v>
      </c>
      <c r="G102" s="287"/>
      <c r="H102" s="288"/>
      <c r="I102" s="288"/>
      <c r="J102" s="288"/>
      <c r="K102" s="288"/>
      <c r="L102" s="288"/>
      <c r="M102" s="288"/>
      <c r="N102" s="264">
        <v>10</v>
      </c>
    </row>
    <row r="103" spans="1:23" ht="31.5" customHeight="1">
      <c r="A103" s="303" t="s">
        <v>438</v>
      </c>
      <c r="B103" s="282" t="s">
        <v>248</v>
      </c>
      <c r="C103" s="283" t="s">
        <v>384</v>
      </c>
      <c r="D103" s="283" t="s">
        <v>249</v>
      </c>
      <c r="E103" s="283"/>
      <c r="F103" s="283"/>
      <c r="G103" s="287"/>
      <c r="H103" s="288" t="e">
        <f>[3]роспись!H73</f>
        <v>#REF!</v>
      </c>
      <c r="I103" s="288">
        <v>480</v>
      </c>
      <c r="J103" s="288">
        <v>668</v>
      </c>
      <c r="K103" s="284" t="e">
        <f t="shared" ref="K103:N105" si="7">K104</f>
        <v>#REF!</v>
      </c>
      <c r="L103" s="284" t="e">
        <f t="shared" si="7"/>
        <v>#REF!</v>
      </c>
      <c r="M103" s="284" t="e">
        <f t="shared" si="7"/>
        <v>#REF!</v>
      </c>
      <c r="N103" s="388">
        <f t="shared" si="7"/>
        <v>30</v>
      </c>
    </row>
    <row r="104" spans="1:23" ht="47.25" customHeight="1">
      <c r="A104" s="303" t="s">
        <v>439</v>
      </c>
      <c r="B104" s="282" t="s">
        <v>537</v>
      </c>
      <c r="C104" s="325">
        <v>993</v>
      </c>
      <c r="D104" s="283" t="s">
        <v>249</v>
      </c>
      <c r="E104" s="283" t="s">
        <v>337</v>
      </c>
      <c r="F104" s="283"/>
      <c r="G104" s="283"/>
      <c r="H104" s="284">
        <f>H106</f>
        <v>204</v>
      </c>
      <c r="I104" s="284">
        <f>I106</f>
        <v>459.2</v>
      </c>
      <c r="J104" s="284">
        <f>J106</f>
        <v>796</v>
      </c>
      <c r="K104" s="284" t="e">
        <f>K106+K107</f>
        <v>#REF!</v>
      </c>
      <c r="L104" s="284" t="e">
        <f>L106+L107</f>
        <v>#REF!</v>
      </c>
      <c r="M104" s="284" t="e">
        <f>M106+M107</f>
        <v>#REF!</v>
      </c>
      <c r="N104" s="276">
        <f t="shared" si="7"/>
        <v>30</v>
      </c>
    </row>
    <row r="105" spans="1:23" ht="31.5" customHeight="1" thickBot="1">
      <c r="A105" s="295" t="s">
        <v>440</v>
      </c>
      <c r="B105" s="291" t="s">
        <v>288</v>
      </c>
      <c r="C105" s="326">
        <v>993</v>
      </c>
      <c r="D105" s="287" t="s">
        <v>249</v>
      </c>
      <c r="E105" s="287" t="s">
        <v>337</v>
      </c>
      <c r="F105" s="287" t="s">
        <v>289</v>
      </c>
      <c r="G105" s="287"/>
      <c r="H105" s="288" t="e">
        <f>[3]роспись!H74</f>
        <v>#REF!</v>
      </c>
      <c r="I105" s="288">
        <v>459.2</v>
      </c>
      <c r="J105" s="288">
        <v>796</v>
      </c>
      <c r="K105" s="288">
        <f>6469.6+600</f>
        <v>7069.6</v>
      </c>
      <c r="L105" s="288">
        <v>2772.6</v>
      </c>
      <c r="M105" s="288">
        <v>7069.6</v>
      </c>
      <c r="N105" s="264">
        <f t="shared" si="7"/>
        <v>30</v>
      </c>
    </row>
    <row r="106" spans="1:23" ht="29.25" customHeight="1" thickBot="1">
      <c r="A106" s="295" t="s">
        <v>441</v>
      </c>
      <c r="B106" s="286" t="s">
        <v>290</v>
      </c>
      <c r="C106" s="326">
        <v>993</v>
      </c>
      <c r="D106" s="253" t="s">
        <v>249</v>
      </c>
      <c r="E106" s="253" t="s">
        <v>337</v>
      </c>
      <c r="F106" s="287" t="s">
        <v>291</v>
      </c>
      <c r="G106" s="287"/>
      <c r="H106" s="288">
        <f>[3]роспись!H75</f>
        <v>204</v>
      </c>
      <c r="I106" s="288">
        <v>459.2</v>
      </c>
      <c r="J106" s="288">
        <v>796</v>
      </c>
      <c r="K106" s="288">
        <f>6469.6+600</f>
        <v>7069.6</v>
      </c>
      <c r="L106" s="288">
        <v>2772.6</v>
      </c>
      <c r="M106" s="288">
        <v>7069.6</v>
      </c>
      <c r="N106" s="393">
        <v>30</v>
      </c>
    </row>
    <row r="107" spans="1:23" ht="25.9" customHeight="1" thickBot="1">
      <c r="A107" s="303" t="s">
        <v>442</v>
      </c>
      <c r="B107" s="382" t="s">
        <v>515</v>
      </c>
      <c r="C107" s="283" t="s">
        <v>384</v>
      </c>
      <c r="D107" s="283" t="s">
        <v>250</v>
      </c>
      <c r="E107" s="283"/>
      <c r="F107" s="283"/>
      <c r="G107" s="287"/>
      <c r="H107" s="288" t="e">
        <f>#REF!+#REF!+#REF!</f>
        <v>#REF!</v>
      </c>
      <c r="I107" s="288" t="e">
        <f>#REF!+#REF!+#REF!</f>
        <v>#REF!</v>
      </c>
      <c r="J107" s="288" t="e">
        <f>#REF!+#REF!+#REF!</f>
        <v>#REF!</v>
      </c>
      <c r="K107" s="284" t="e">
        <f>#REF!+K113+K116+K119</f>
        <v>#REF!</v>
      </c>
      <c r="L107" s="284" t="e">
        <f>#REF!+L113+L116+L119</f>
        <v>#REF!</v>
      </c>
      <c r="M107" s="284" t="e">
        <f>#REF!+M113+M116+M119</f>
        <v>#REF!</v>
      </c>
      <c r="N107" s="262">
        <f>N109</f>
        <v>66643.700000000012</v>
      </c>
    </row>
    <row r="108" spans="1:23" ht="25.9" customHeight="1" thickBot="1">
      <c r="A108" s="303" t="s">
        <v>139</v>
      </c>
      <c r="B108" s="327" t="s">
        <v>251</v>
      </c>
      <c r="C108" s="283"/>
      <c r="D108" s="283"/>
      <c r="E108" s="283"/>
      <c r="F108" s="283"/>
      <c r="G108" s="287"/>
      <c r="H108" s="288"/>
      <c r="I108" s="288"/>
      <c r="J108" s="288"/>
      <c r="K108" s="284"/>
      <c r="L108" s="284"/>
      <c r="M108" s="284"/>
      <c r="N108" s="390">
        <f>N109</f>
        <v>66643.700000000012</v>
      </c>
    </row>
    <row r="109" spans="1:23" ht="25.5" customHeight="1" thickBot="1">
      <c r="A109" s="303" t="s">
        <v>142</v>
      </c>
      <c r="B109" s="327" t="s">
        <v>546</v>
      </c>
      <c r="C109" s="283" t="s">
        <v>384</v>
      </c>
      <c r="D109" s="283" t="s">
        <v>252</v>
      </c>
      <c r="E109" s="283"/>
      <c r="F109" s="283"/>
      <c r="G109" s="283"/>
      <c r="H109" s="284"/>
      <c r="I109" s="284"/>
      <c r="J109" s="284"/>
      <c r="K109" s="284"/>
      <c r="L109" s="284"/>
      <c r="M109" s="284"/>
      <c r="N109" s="275">
        <f>N110+N113+N116+N119+N122</f>
        <v>66643.700000000012</v>
      </c>
    </row>
    <row r="110" spans="1:23" ht="49.5" customHeight="1">
      <c r="A110" s="303" t="s">
        <v>145</v>
      </c>
      <c r="B110" s="294" t="s">
        <v>538</v>
      </c>
      <c r="C110" s="283">
        <v>993</v>
      </c>
      <c r="D110" s="283" t="s">
        <v>252</v>
      </c>
      <c r="E110" s="283" t="s">
        <v>338</v>
      </c>
      <c r="F110" s="283"/>
      <c r="G110" s="287"/>
      <c r="H110" s="288" t="e">
        <f>#REF!</f>
        <v>#REF!</v>
      </c>
      <c r="I110" s="288" t="e">
        <f>#REF!</f>
        <v>#REF!</v>
      </c>
      <c r="J110" s="288" t="e">
        <f>#REF!</f>
        <v>#REF!</v>
      </c>
      <c r="K110" s="284" t="e">
        <f>#REF!+#REF!+#REF!</f>
        <v>#REF!</v>
      </c>
      <c r="L110" s="284" t="e">
        <f>#REF!+#REF!+#REF!</f>
        <v>#REF!</v>
      </c>
      <c r="M110" s="284" t="e">
        <f>#REF!+#REF!+#REF!</f>
        <v>#REF!</v>
      </c>
      <c r="N110" s="276">
        <f>N111</f>
        <v>6500</v>
      </c>
    </row>
    <row r="111" spans="1:23" ht="30.6" customHeight="1">
      <c r="A111" s="295" t="s">
        <v>145</v>
      </c>
      <c r="B111" s="291" t="s">
        <v>288</v>
      </c>
      <c r="C111" s="287">
        <v>993</v>
      </c>
      <c r="D111" s="287" t="s">
        <v>252</v>
      </c>
      <c r="E111" s="287" t="s">
        <v>338</v>
      </c>
      <c r="F111" s="287" t="s">
        <v>289</v>
      </c>
      <c r="G111" s="287"/>
      <c r="H111" s="288" t="e">
        <f>H112</f>
        <v>#REF!</v>
      </c>
      <c r="I111" s="288" t="e">
        <f>I112</f>
        <v>#REF!</v>
      </c>
      <c r="J111" s="288" t="e">
        <f>J112</f>
        <v>#REF!</v>
      </c>
      <c r="K111" s="288">
        <v>411.1</v>
      </c>
      <c r="L111" s="288"/>
      <c r="M111" s="288">
        <v>411.1</v>
      </c>
      <c r="N111" s="264">
        <f>N112</f>
        <v>6500</v>
      </c>
    </row>
    <row r="112" spans="1:23" ht="27" customHeight="1">
      <c r="A112" s="295" t="s">
        <v>443</v>
      </c>
      <c r="B112" s="286" t="s">
        <v>290</v>
      </c>
      <c r="C112" s="287">
        <v>993</v>
      </c>
      <c r="D112" s="287" t="s">
        <v>252</v>
      </c>
      <c r="E112" s="287" t="s">
        <v>338</v>
      </c>
      <c r="F112" s="287" t="s">
        <v>291</v>
      </c>
      <c r="G112" s="287"/>
      <c r="H112" s="288" t="e">
        <f>#REF!</f>
        <v>#REF!</v>
      </c>
      <c r="I112" s="288" t="e">
        <f>#REF!</f>
        <v>#REF!</v>
      </c>
      <c r="J112" s="288" t="e">
        <f>#REF!</f>
        <v>#REF!</v>
      </c>
      <c r="K112" s="288">
        <v>411.1</v>
      </c>
      <c r="L112" s="288"/>
      <c r="M112" s="288">
        <v>411.1</v>
      </c>
      <c r="N112" s="264">
        <v>6500</v>
      </c>
      <c r="W112" s="136"/>
    </row>
    <row r="113" spans="1:14" ht="25.15" customHeight="1">
      <c r="A113" s="328" t="s">
        <v>444</v>
      </c>
      <c r="B113" s="294" t="s">
        <v>445</v>
      </c>
      <c r="C113" s="283">
        <v>993</v>
      </c>
      <c r="D113" s="283" t="s">
        <v>252</v>
      </c>
      <c r="E113" s="283" t="s">
        <v>340</v>
      </c>
      <c r="F113" s="283"/>
      <c r="G113" s="287"/>
      <c r="H113" s="288" t="e">
        <f>#REF!</f>
        <v>#REF!</v>
      </c>
      <c r="I113" s="288" t="e">
        <f>#REF!</f>
        <v>#REF!</v>
      </c>
      <c r="J113" s="288" t="e">
        <f>#REF!</f>
        <v>#REF!</v>
      </c>
      <c r="K113" s="284" t="e">
        <f>#REF!++#REF!+#REF!</f>
        <v>#REF!</v>
      </c>
      <c r="L113" s="284" t="e">
        <f>#REF!++#REF!+#REF!</f>
        <v>#REF!</v>
      </c>
      <c r="M113" s="284" t="e">
        <f>#REF!++#REF!+#REF!</f>
        <v>#REF!</v>
      </c>
      <c r="N113" s="276">
        <f>N114</f>
        <v>37070.300000000003</v>
      </c>
    </row>
    <row r="114" spans="1:14" ht="27" customHeight="1">
      <c r="A114" s="329" t="s">
        <v>446</v>
      </c>
      <c r="B114" s="291" t="s">
        <v>288</v>
      </c>
      <c r="C114" s="330" t="s">
        <v>384</v>
      </c>
      <c r="D114" s="330" t="s">
        <v>252</v>
      </c>
      <c r="E114" s="287" t="s">
        <v>340</v>
      </c>
      <c r="F114" s="330" t="s">
        <v>289</v>
      </c>
      <c r="G114" s="287"/>
      <c r="H114" s="287" t="e">
        <f>[3]роспись!H78</f>
        <v>#REF!</v>
      </c>
      <c r="I114" s="288">
        <v>566.29999999999995</v>
      </c>
      <c r="J114" s="288">
        <v>1077.7</v>
      </c>
      <c r="K114" s="336">
        <v>1800</v>
      </c>
      <c r="L114" s="288">
        <v>1632.4</v>
      </c>
      <c r="M114" s="288">
        <v>1800</v>
      </c>
      <c r="N114" s="264">
        <f>N115</f>
        <v>37070.300000000003</v>
      </c>
    </row>
    <row r="115" spans="1:14" ht="28.15" customHeight="1">
      <c r="A115" s="329" t="s">
        <v>447</v>
      </c>
      <c r="B115" s="286" t="s">
        <v>290</v>
      </c>
      <c r="C115" s="330" t="s">
        <v>384</v>
      </c>
      <c r="D115" s="330" t="s">
        <v>252</v>
      </c>
      <c r="E115" s="287" t="s">
        <v>340</v>
      </c>
      <c r="F115" s="330" t="s">
        <v>291</v>
      </c>
      <c r="G115" s="287"/>
      <c r="H115" s="287">
        <f>[3]роспись!H79</f>
        <v>1077.7</v>
      </c>
      <c r="I115" s="288">
        <v>566.29999999999995</v>
      </c>
      <c r="J115" s="288">
        <v>1077.7</v>
      </c>
      <c r="K115" s="336">
        <v>1800</v>
      </c>
      <c r="L115" s="288">
        <v>1632.4</v>
      </c>
      <c r="M115" s="288">
        <v>1800</v>
      </c>
      <c r="N115" s="264">
        <v>37070.300000000003</v>
      </c>
    </row>
    <row r="116" spans="1:14" ht="27" customHeight="1">
      <c r="A116" s="303" t="s">
        <v>448</v>
      </c>
      <c r="B116" s="294" t="s">
        <v>341</v>
      </c>
      <c r="C116" s="283">
        <v>993</v>
      </c>
      <c r="D116" s="283" t="s">
        <v>252</v>
      </c>
      <c r="E116" s="283" t="s">
        <v>342</v>
      </c>
      <c r="F116" s="283"/>
      <c r="G116" s="283"/>
      <c r="H116" s="284" t="e">
        <f>#REF!+H119</f>
        <v>#REF!</v>
      </c>
      <c r="I116" s="284" t="e">
        <f>#REF!+I119</f>
        <v>#REF!</v>
      </c>
      <c r="J116" s="284" t="e">
        <f>#REF!+J119</f>
        <v>#REF!</v>
      </c>
      <c r="K116" s="284" t="e">
        <f>#REF!+#REF!</f>
        <v>#REF!</v>
      </c>
      <c r="L116" s="284" t="e">
        <f>#REF!+#REF!</f>
        <v>#REF!</v>
      </c>
      <c r="M116" s="284" t="e">
        <f>#REF!+#REF!</f>
        <v>#REF!</v>
      </c>
      <c r="N116" s="276">
        <f>N117</f>
        <v>22170.400000000001</v>
      </c>
    </row>
    <row r="117" spans="1:14" ht="28.9" customHeight="1">
      <c r="A117" s="329" t="s">
        <v>449</v>
      </c>
      <c r="B117" s="291" t="s">
        <v>288</v>
      </c>
      <c r="C117" s="331" t="s">
        <v>384</v>
      </c>
      <c r="D117" s="330" t="s">
        <v>252</v>
      </c>
      <c r="E117" s="287" t="s">
        <v>342</v>
      </c>
      <c r="F117" s="330" t="s">
        <v>289</v>
      </c>
      <c r="G117" s="287"/>
      <c r="H117" s="288"/>
      <c r="I117" s="288"/>
      <c r="J117" s="288"/>
      <c r="K117" s="336">
        <v>421.6</v>
      </c>
      <c r="L117" s="337"/>
      <c r="M117" s="337">
        <v>421.6</v>
      </c>
      <c r="N117" s="264">
        <f>N118</f>
        <v>22170.400000000001</v>
      </c>
    </row>
    <row r="118" spans="1:14" ht="25.5" customHeight="1">
      <c r="A118" s="329" t="s">
        <v>450</v>
      </c>
      <c r="B118" s="286" t="s">
        <v>290</v>
      </c>
      <c r="C118" s="331" t="s">
        <v>384</v>
      </c>
      <c r="D118" s="330" t="s">
        <v>252</v>
      </c>
      <c r="E118" s="287" t="s">
        <v>342</v>
      </c>
      <c r="F118" s="330" t="s">
        <v>291</v>
      </c>
      <c r="G118" s="287"/>
      <c r="H118" s="288"/>
      <c r="I118" s="288"/>
      <c r="J118" s="288"/>
      <c r="K118" s="336">
        <v>421.6</v>
      </c>
      <c r="L118" s="337"/>
      <c r="M118" s="337">
        <v>421.6</v>
      </c>
      <c r="N118" s="264">
        <v>22170.400000000001</v>
      </c>
    </row>
    <row r="119" spans="1:14" ht="43.5" customHeight="1">
      <c r="A119" s="303" t="s">
        <v>451</v>
      </c>
      <c r="B119" s="294" t="s">
        <v>539</v>
      </c>
      <c r="C119" s="283">
        <v>993</v>
      </c>
      <c r="D119" s="283" t="s">
        <v>252</v>
      </c>
      <c r="E119" s="283" t="s">
        <v>343</v>
      </c>
      <c r="F119" s="283"/>
      <c r="G119" s="283"/>
      <c r="H119" s="284" t="e">
        <f>#REF!</f>
        <v>#REF!</v>
      </c>
      <c r="I119" s="284" t="e">
        <f>#REF!</f>
        <v>#REF!</v>
      </c>
      <c r="J119" s="284" t="e">
        <f>#REF!</f>
        <v>#REF!</v>
      </c>
      <c r="K119" s="284" t="e">
        <f>#REF!+#REF!+K122</f>
        <v>#REF!</v>
      </c>
      <c r="L119" s="284" t="e">
        <f>#REF!+#REF!+L122</f>
        <v>#REF!</v>
      </c>
      <c r="M119" s="284" t="e">
        <f>#REF!+#REF!+M122</f>
        <v>#REF!</v>
      </c>
      <c r="N119" s="276">
        <f>N120</f>
        <v>0</v>
      </c>
    </row>
    <row r="120" spans="1:14" ht="27.75" customHeight="1">
      <c r="A120" s="329" t="s">
        <v>452</v>
      </c>
      <c r="B120" s="291" t="s">
        <v>288</v>
      </c>
      <c r="C120" s="331" t="s">
        <v>384</v>
      </c>
      <c r="D120" s="330" t="s">
        <v>252</v>
      </c>
      <c r="E120" s="287" t="s">
        <v>343</v>
      </c>
      <c r="F120" s="330" t="s">
        <v>289</v>
      </c>
      <c r="G120" s="287"/>
      <c r="H120" s="288" t="e">
        <f>H121</f>
        <v>#REF!</v>
      </c>
      <c r="I120" s="288" t="e">
        <f>I121</f>
        <v>#REF!</v>
      </c>
      <c r="J120" s="288" t="e">
        <f>J121</f>
        <v>#REF!</v>
      </c>
      <c r="K120" s="288">
        <f>3844.9-612.2</f>
        <v>3232.7</v>
      </c>
      <c r="L120" s="288">
        <v>1940.7</v>
      </c>
      <c r="M120" s="288">
        <v>3232.7</v>
      </c>
      <c r="N120" s="264">
        <f>N121</f>
        <v>0</v>
      </c>
    </row>
    <row r="121" spans="1:14" ht="28.9" customHeight="1">
      <c r="A121" s="329" t="s">
        <v>453</v>
      </c>
      <c r="B121" s="286" t="s">
        <v>290</v>
      </c>
      <c r="C121" s="331" t="s">
        <v>384</v>
      </c>
      <c r="D121" s="330" t="s">
        <v>252</v>
      </c>
      <c r="E121" s="287" t="s">
        <v>343</v>
      </c>
      <c r="F121" s="330" t="s">
        <v>291</v>
      </c>
      <c r="G121" s="287"/>
      <c r="H121" s="288" t="e">
        <f>#REF!</f>
        <v>#REF!</v>
      </c>
      <c r="I121" s="288" t="e">
        <f>#REF!</f>
        <v>#REF!</v>
      </c>
      <c r="J121" s="288" t="e">
        <f>#REF!</f>
        <v>#REF!</v>
      </c>
      <c r="K121" s="288">
        <f>3844.9-612.2</f>
        <v>3232.7</v>
      </c>
      <c r="L121" s="288">
        <v>1940.7</v>
      </c>
      <c r="M121" s="288">
        <v>3232.7</v>
      </c>
      <c r="N121" s="264">
        <v>0</v>
      </c>
    </row>
    <row r="122" spans="1:14" ht="39.75" customHeight="1">
      <c r="A122" s="332" t="s">
        <v>454</v>
      </c>
      <c r="B122" s="333" t="s">
        <v>540</v>
      </c>
      <c r="C122" s="334" t="s">
        <v>384</v>
      </c>
      <c r="D122" s="290" t="s">
        <v>252</v>
      </c>
      <c r="E122" s="283" t="s">
        <v>344</v>
      </c>
      <c r="F122" s="290"/>
      <c r="G122" s="283"/>
      <c r="H122" s="284">
        <v>400</v>
      </c>
      <c r="I122" s="284">
        <v>220</v>
      </c>
      <c r="J122" s="284">
        <v>400</v>
      </c>
      <c r="K122" s="284">
        <f>K124</f>
        <v>500</v>
      </c>
      <c r="L122" s="284">
        <f>L124</f>
        <v>14.9</v>
      </c>
      <c r="M122" s="284">
        <f>M124</f>
        <v>500</v>
      </c>
      <c r="N122" s="276">
        <f>N123</f>
        <v>903</v>
      </c>
    </row>
    <row r="123" spans="1:14" ht="25.9" customHeight="1">
      <c r="A123" s="329" t="s">
        <v>455</v>
      </c>
      <c r="B123" s="291" t="s">
        <v>288</v>
      </c>
      <c r="C123" s="331" t="s">
        <v>384</v>
      </c>
      <c r="D123" s="330" t="s">
        <v>252</v>
      </c>
      <c r="E123" s="287" t="s">
        <v>344</v>
      </c>
      <c r="F123" s="330" t="s">
        <v>289</v>
      </c>
      <c r="G123" s="287"/>
      <c r="H123" s="288" t="e">
        <f t="shared" ref="H123:J124" si="8">H129</f>
        <v>#REF!</v>
      </c>
      <c r="I123" s="288" t="e">
        <f t="shared" si="8"/>
        <v>#REF!</v>
      </c>
      <c r="J123" s="288" t="e">
        <f t="shared" si="8"/>
        <v>#REF!</v>
      </c>
      <c r="K123" s="288">
        <v>500</v>
      </c>
      <c r="L123" s="288">
        <v>14.9</v>
      </c>
      <c r="M123" s="288">
        <v>500</v>
      </c>
      <c r="N123" s="264">
        <f>N124</f>
        <v>903</v>
      </c>
    </row>
    <row r="124" spans="1:14" ht="27" customHeight="1" thickBot="1">
      <c r="A124" s="329" t="s">
        <v>456</v>
      </c>
      <c r="B124" s="286" t="s">
        <v>290</v>
      </c>
      <c r="C124" s="331" t="s">
        <v>384</v>
      </c>
      <c r="D124" s="330" t="s">
        <v>252</v>
      </c>
      <c r="E124" s="287" t="s">
        <v>344</v>
      </c>
      <c r="F124" s="330" t="s">
        <v>291</v>
      </c>
      <c r="G124" s="287"/>
      <c r="H124" s="288" t="e">
        <f t="shared" si="8"/>
        <v>#REF!</v>
      </c>
      <c r="I124" s="288" t="e">
        <f t="shared" si="8"/>
        <v>#REF!</v>
      </c>
      <c r="J124" s="288" t="e">
        <f t="shared" si="8"/>
        <v>#REF!</v>
      </c>
      <c r="K124" s="288">
        <v>500</v>
      </c>
      <c r="L124" s="288">
        <v>14.9</v>
      </c>
      <c r="M124" s="288">
        <v>500</v>
      </c>
      <c r="N124" s="393">
        <v>903</v>
      </c>
    </row>
    <row r="125" spans="1:14" s="221" customFormat="1" ht="28.5" customHeight="1" thickBot="1">
      <c r="A125" s="303" t="s">
        <v>457</v>
      </c>
      <c r="B125" s="382" t="s">
        <v>516</v>
      </c>
      <c r="C125" s="283" t="s">
        <v>384</v>
      </c>
      <c r="D125" s="283" t="s">
        <v>253</v>
      </c>
      <c r="E125" s="283"/>
      <c r="F125" s="283"/>
      <c r="G125" s="283"/>
      <c r="H125" s="284" t="e">
        <f t="shared" ref="H125:M125" si="9">H130</f>
        <v>#REF!</v>
      </c>
      <c r="I125" s="284" t="e">
        <f t="shared" si="9"/>
        <v>#REF!</v>
      </c>
      <c r="J125" s="284" t="e">
        <f t="shared" si="9"/>
        <v>#REF!</v>
      </c>
      <c r="K125" s="284" t="e">
        <f t="shared" si="9"/>
        <v>#REF!</v>
      </c>
      <c r="L125" s="284" t="e">
        <f t="shared" si="9"/>
        <v>#REF!</v>
      </c>
      <c r="M125" s="284" t="e">
        <f t="shared" si="9"/>
        <v>#REF!</v>
      </c>
      <c r="N125" s="262">
        <f>N130+N126</f>
        <v>1391.8</v>
      </c>
    </row>
    <row r="126" spans="1:14" s="221" customFormat="1" ht="26.45" customHeight="1" thickBot="1">
      <c r="A126" s="303" t="s">
        <v>458</v>
      </c>
      <c r="B126" s="294" t="s">
        <v>254</v>
      </c>
      <c r="C126" s="283" t="s">
        <v>384</v>
      </c>
      <c r="D126" s="283" t="s">
        <v>255</v>
      </c>
      <c r="E126" s="283"/>
      <c r="F126" s="283"/>
      <c r="G126" s="283"/>
      <c r="H126" s="284" t="e">
        <f>H130</f>
        <v>#REF!</v>
      </c>
      <c r="I126" s="284" t="e">
        <f>I130</f>
        <v>#REF!</v>
      </c>
      <c r="J126" s="284" t="e">
        <f>J130</f>
        <v>#REF!</v>
      </c>
      <c r="K126" s="284" t="e">
        <f>K130+#REF!+#REF!</f>
        <v>#REF!</v>
      </c>
      <c r="L126" s="284" t="e">
        <f>L130+#REF!+#REF!</f>
        <v>#REF!</v>
      </c>
      <c r="M126" s="284" t="e">
        <f>M130+#REF!+#REF!</f>
        <v>#REF!</v>
      </c>
      <c r="N126" s="275">
        <f>N127</f>
        <v>41.1</v>
      </c>
    </row>
    <row r="127" spans="1:14" s="221" customFormat="1" ht="97.5" customHeight="1">
      <c r="A127" s="303" t="s">
        <v>177</v>
      </c>
      <c r="B127" s="294" t="s">
        <v>557</v>
      </c>
      <c r="C127" s="283" t="s">
        <v>384</v>
      </c>
      <c r="D127" s="283" t="s">
        <v>255</v>
      </c>
      <c r="E127" s="283" t="s">
        <v>345</v>
      </c>
      <c r="F127" s="283"/>
      <c r="G127" s="283"/>
      <c r="H127" s="284" t="e">
        <f>[3]роспись!H101</f>
        <v>#REF!</v>
      </c>
      <c r="I127" s="284">
        <v>309.39999999999998</v>
      </c>
      <c r="J127" s="284">
        <v>500</v>
      </c>
      <c r="K127" s="284" t="e">
        <f>K130</f>
        <v>#REF!</v>
      </c>
      <c r="L127" s="284" t="e">
        <f>L130</f>
        <v>#REF!</v>
      </c>
      <c r="M127" s="284" t="e">
        <f>M130</f>
        <v>#REF!</v>
      </c>
      <c r="N127" s="276">
        <f>N129</f>
        <v>41.1</v>
      </c>
    </row>
    <row r="128" spans="1:14" s="221" customFormat="1" ht="31.5" customHeight="1">
      <c r="A128" s="295" t="s">
        <v>180</v>
      </c>
      <c r="B128" s="291" t="s">
        <v>288</v>
      </c>
      <c r="C128" s="287" t="s">
        <v>384</v>
      </c>
      <c r="D128" s="287" t="s">
        <v>255</v>
      </c>
      <c r="E128" s="287" t="s">
        <v>345</v>
      </c>
      <c r="F128" s="287" t="s">
        <v>289</v>
      </c>
      <c r="G128" s="299"/>
      <c r="H128" s="305" t="e">
        <f>H6+#REF!</f>
        <v>#REF!</v>
      </c>
      <c r="I128" s="305" t="e">
        <f>I6+#REF!</f>
        <v>#REF!</v>
      </c>
      <c r="J128" s="305" t="e">
        <f>J6+#REF!</f>
        <v>#REF!</v>
      </c>
      <c r="K128" s="288">
        <v>299</v>
      </c>
      <c r="L128" s="288">
        <v>243.6</v>
      </c>
      <c r="M128" s="288">
        <v>299</v>
      </c>
      <c r="N128" s="264">
        <f>N129</f>
        <v>41.1</v>
      </c>
    </row>
    <row r="129" spans="1:14" s="221" customFormat="1" ht="30" customHeight="1">
      <c r="A129" s="295" t="s">
        <v>459</v>
      </c>
      <c r="B129" s="286" t="s">
        <v>290</v>
      </c>
      <c r="C129" s="287" t="s">
        <v>384</v>
      </c>
      <c r="D129" s="287" t="s">
        <v>255</v>
      </c>
      <c r="E129" s="287" t="s">
        <v>345</v>
      </c>
      <c r="F129" s="287" t="s">
        <v>291</v>
      </c>
      <c r="G129" s="299"/>
      <c r="H129" s="305" t="e">
        <f>H7+#REF!</f>
        <v>#REF!</v>
      </c>
      <c r="I129" s="305" t="e">
        <f>I7+#REF!</f>
        <v>#REF!</v>
      </c>
      <c r="J129" s="305" t="e">
        <f>J7+#REF!</f>
        <v>#REF!</v>
      </c>
      <c r="K129" s="288">
        <v>299</v>
      </c>
      <c r="L129" s="288">
        <v>243.6</v>
      </c>
      <c r="M129" s="288">
        <v>299</v>
      </c>
      <c r="N129" s="264">
        <v>41.1</v>
      </c>
    </row>
    <row r="130" spans="1:14" s="221" customFormat="1" ht="30" customHeight="1">
      <c r="A130" s="303" t="s">
        <v>460</v>
      </c>
      <c r="B130" s="294" t="s">
        <v>461</v>
      </c>
      <c r="C130" s="283" t="s">
        <v>384</v>
      </c>
      <c r="D130" s="283" t="s">
        <v>257</v>
      </c>
      <c r="E130" s="283"/>
      <c r="F130" s="283"/>
      <c r="G130" s="283"/>
      <c r="H130" s="284" t="e">
        <f>#REF!</f>
        <v>#REF!</v>
      </c>
      <c r="I130" s="284" t="e">
        <f>#REF!</f>
        <v>#REF!</v>
      </c>
      <c r="J130" s="284" t="e">
        <f>#REF!</f>
        <v>#REF!</v>
      </c>
      <c r="K130" s="284" t="e">
        <f>#REF!+#REF!+K134</f>
        <v>#REF!</v>
      </c>
      <c r="L130" s="284" t="e">
        <f>#REF!+#REF!+L134</f>
        <v>#REF!</v>
      </c>
      <c r="M130" s="284" t="e">
        <f>#REF!+#REF!+M134</f>
        <v>#REF!</v>
      </c>
      <c r="N130" s="276">
        <f>N134+N131</f>
        <v>1350.7</v>
      </c>
    </row>
    <row r="131" spans="1:14" ht="44.25" customHeight="1">
      <c r="A131" s="303" t="s">
        <v>462</v>
      </c>
      <c r="B131" s="294" t="s">
        <v>545</v>
      </c>
      <c r="C131" s="283" t="s">
        <v>384</v>
      </c>
      <c r="D131" s="283" t="s">
        <v>257</v>
      </c>
      <c r="E131" s="283" t="s">
        <v>346</v>
      </c>
      <c r="F131" s="283"/>
      <c r="G131" s="283"/>
      <c r="H131" s="284" t="e">
        <f>[3]роспись!H87</f>
        <v>#REF!</v>
      </c>
      <c r="I131" s="284">
        <v>309.39999999999998</v>
      </c>
      <c r="J131" s="284">
        <v>500</v>
      </c>
      <c r="K131" s="284">
        <f>K133</f>
        <v>299</v>
      </c>
      <c r="L131" s="284">
        <f>L133</f>
        <v>243.6</v>
      </c>
      <c r="M131" s="284">
        <f>M133</f>
        <v>299</v>
      </c>
      <c r="N131" s="276">
        <f>N132</f>
        <v>1110.2</v>
      </c>
    </row>
    <row r="132" spans="1:14" ht="25.9" customHeight="1">
      <c r="A132" s="295" t="s">
        <v>463</v>
      </c>
      <c r="B132" s="291" t="s">
        <v>288</v>
      </c>
      <c r="C132" s="287" t="s">
        <v>384</v>
      </c>
      <c r="D132" s="287" t="s">
        <v>257</v>
      </c>
      <c r="E132" s="287" t="s">
        <v>346</v>
      </c>
      <c r="F132" s="287" t="s">
        <v>289</v>
      </c>
      <c r="G132" s="299"/>
      <c r="H132" s="305" t="e">
        <f>#REF!+#REF!</f>
        <v>#REF!</v>
      </c>
      <c r="I132" s="305" t="e">
        <f>#REF!+#REF!</f>
        <v>#REF!</v>
      </c>
      <c r="J132" s="305" t="e">
        <f>#REF!+#REF!</f>
        <v>#REF!</v>
      </c>
      <c r="K132" s="288">
        <v>299</v>
      </c>
      <c r="L132" s="288">
        <v>243.6</v>
      </c>
      <c r="M132" s="288">
        <v>299</v>
      </c>
      <c r="N132" s="264">
        <f>N133</f>
        <v>1110.2</v>
      </c>
    </row>
    <row r="133" spans="1:14" ht="26.45" customHeight="1">
      <c r="A133" s="295" t="s">
        <v>464</v>
      </c>
      <c r="B133" s="286" t="s">
        <v>290</v>
      </c>
      <c r="C133" s="287" t="s">
        <v>384</v>
      </c>
      <c r="D133" s="287" t="s">
        <v>257</v>
      </c>
      <c r="E133" s="287" t="s">
        <v>346</v>
      </c>
      <c r="F133" s="287" t="s">
        <v>291</v>
      </c>
      <c r="G133" s="299"/>
      <c r="H133" s="305" t="e">
        <f>#REF!+H6</f>
        <v>#REF!</v>
      </c>
      <c r="I133" s="305" t="e">
        <f>#REF!+I6</f>
        <v>#REF!</v>
      </c>
      <c r="J133" s="305" t="e">
        <f>#REF!+J6</f>
        <v>#REF!</v>
      </c>
      <c r="K133" s="288">
        <v>299</v>
      </c>
      <c r="L133" s="288">
        <v>243.6</v>
      </c>
      <c r="M133" s="288">
        <v>299</v>
      </c>
      <c r="N133" s="264">
        <v>1110.2</v>
      </c>
    </row>
    <row r="134" spans="1:14" ht="51" customHeight="1">
      <c r="A134" s="303" t="s">
        <v>465</v>
      </c>
      <c r="B134" s="282" t="s">
        <v>561</v>
      </c>
      <c r="C134" s="283" t="s">
        <v>384</v>
      </c>
      <c r="D134" s="283" t="s">
        <v>257</v>
      </c>
      <c r="E134" s="283" t="s">
        <v>547</v>
      </c>
      <c r="F134" s="283"/>
      <c r="G134" s="310"/>
      <c r="H134" s="311"/>
      <c r="I134" s="322"/>
      <c r="J134" s="322"/>
      <c r="K134" s="284">
        <f>K136</f>
        <v>120</v>
      </c>
      <c r="L134" s="284">
        <f>L136</f>
        <v>100</v>
      </c>
      <c r="M134" s="284">
        <f>M136</f>
        <v>120</v>
      </c>
      <c r="N134" s="276">
        <f>N136</f>
        <v>240.5</v>
      </c>
    </row>
    <row r="135" spans="1:14" ht="28.9" customHeight="1" thickBot="1">
      <c r="A135" s="295" t="s">
        <v>466</v>
      </c>
      <c r="B135" s="291" t="s">
        <v>288</v>
      </c>
      <c r="C135" s="326">
        <v>993</v>
      </c>
      <c r="D135" s="287" t="s">
        <v>257</v>
      </c>
      <c r="E135" s="287" t="s">
        <v>547</v>
      </c>
      <c r="F135" s="287" t="s">
        <v>289</v>
      </c>
      <c r="G135" s="312"/>
      <c r="H135" s="313"/>
      <c r="I135" s="323"/>
      <c r="J135" s="323"/>
      <c r="K135" s="288">
        <v>120</v>
      </c>
      <c r="L135" s="288">
        <v>100</v>
      </c>
      <c r="M135" s="288">
        <v>120</v>
      </c>
      <c r="N135" s="264">
        <f>N136</f>
        <v>240.5</v>
      </c>
    </row>
    <row r="136" spans="1:14" ht="29.25" customHeight="1" thickBot="1">
      <c r="A136" s="295" t="s">
        <v>467</v>
      </c>
      <c r="B136" s="286" t="s">
        <v>290</v>
      </c>
      <c r="C136" s="326">
        <v>993</v>
      </c>
      <c r="D136" s="287" t="s">
        <v>257</v>
      </c>
      <c r="E136" s="287" t="s">
        <v>547</v>
      </c>
      <c r="F136" s="287" t="s">
        <v>291</v>
      </c>
      <c r="G136" s="312"/>
      <c r="H136" s="313"/>
      <c r="I136" s="323"/>
      <c r="J136" s="323"/>
      <c r="K136" s="288">
        <v>120</v>
      </c>
      <c r="L136" s="288">
        <v>100</v>
      </c>
      <c r="M136" s="288">
        <v>120</v>
      </c>
      <c r="N136" s="393">
        <v>240.5</v>
      </c>
    </row>
    <row r="137" spans="1:14" ht="22.5" customHeight="1" thickBot="1">
      <c r="A137" s="303" t="s">
        <v>468</v>
      </c>
      <c r="B137" s="382" t="s">
        <v>518</v>
      </c>
      <c r="C137" s="283" t="s">
        <v>384</v>
      </c>
      <c r="D137" s="283" t="s">
        <v>258</v>
      </c>
      <c r="E137" s="283"/>
      <c r="F137" s="283"/>
      <c r="G137" s="312"/>
      <c r="H137" s="313"/>
      <c r="I137" s="323"/>
      <c r="J137" s="323"/>
      <c r="K137" s="284" t="e">
        <f>K138</f>
        <v>#REF!</v>
      </c>
      <c r="L137" s="284" t="e">
        <f>L138</f>
        <v>#REF!</v>
      </c>
      <c r="M137" s="284" t="e">
        <f>M138</f>
        <v>#REF!</v>
      </c>
      <c r="N137" s="262">
        <f>N138+N142</f>
        <v>32653.5</v>
      </c>
    </row>
    <row r="138" spans="1:14" ht="25.5" customHeight="1" thickBot="1">
      <c r="A138" s="303" t="s">
        <v>469</v>
      </c>
      <c r="B138" s="294" t="s">
        <v>259</v>
      </c>
      <c r="C138" s="283" t="s">
        <v>384</v>
      </c>
      <c r="D138" s="283" t="s">
        <v>260</v>
      </c>
      <c r="E138" s="283"/>
      <c r="F138" s="283"/>
      <c r="G138" s="310"/>
      <c r="H138" s="311"/>
      <c r="I138" s="322"/>
      <c r="J138" s="322"/>
      <c r="K138" s="284" t="e">
        <f>K139+K142</f>
        <v>#REF!</v>
      </c>
      <c r="L138" s="284" t="e">
        <f>L139+L142</f>
        <v>#REF!</v>
      </c>
      <c r="M138" s="284" t="e">
        <f>M139+M142</f>
        <v>#REF!</v>
      </c>
      <c r="N138" s="275">
        <f>N139</f>
        <v>9961.6</v>
      </c>
    </row>
    <row r="139" spans="1:14" ht="60.75" customHeight="1">
      <c r="A139" s="303" t="s">
        <v>188</v>
      </c>
      <c r="B139" s="294" t="s">
        <v>541</v>
      </c>
      <c r="C139" s="283" t="s">
        <v>384</v>
      </c>
      <c r="D139" s="283" t="s">
        <v>260</v>
      </c>
      <c r="E139" s="283" t="s">
        <v>348</v>
      </c>
      <c r="F139" s="283"/>
      <c r="G139" s="310"/>
      <c r="H139" s="311"/>
      <c r="I139" s="322"/>
      <c r="J139" s="322"/>
      <c r="K139" s="284" t="e">
        <f>#REF!</f>
        <v>#REF!</v>
      </c>
      <c r="L139" s="284" t="e">
        <f>#REF!</f>
        <v>#REF!</v>
      </c>
      <c r="M139" s="284" t="e">
        <f>#REF!</f>
        <v>#REF!</v>
      </c>
      <c r="N139" s="276">
        <f>N140</f>
        <v>9961.6</v>
      </c>
    </row>
    <row r="140" spans="1:14" ht="31.5" customHeight="1">
      <c r="A140" s="295" t="s">
        <v>470</v>
      </c>
      <c r="B140" s="291" t="s">
        <v>288</v>
      </c>
      <c r="C140" s="287" t="s">
        <v>384</v>
      </c>
      <c r="D140" s="287" t="s">
        <v>260</v>
      </c>
      <c r="E140" s="287" t="s">
        <v>348</v>
      </c>
      <c r="F140" s="287" t="s">
        <v>289</v>
      </c>
      <c r="G140" s="312"/>
      <c r="H140" s="313"/>
      <c r="I140" s="323"/>
      <c r="J140" s="323"/>
      <c r="K140" s="288">
        <f>1909+9</f>
        <v>1918</v>
      </c>
      <c r="L140" s="288">
        <v>1097.9000000000001</v>
      </c>
      <c r="M140" s="288">
        <v>1918</v>
      </c>
      <c r="N140" s="264">
        <f>N141</f>
        <v>9961.6</v>
      </c>
    </row>
    <row r="141" spans="1:14" ht="28.9" customHeight="1" thickBot="1">
      <c r="A141" s="295" t="s">
        <v>471</v>
      </c>
      <c r="B141" s="286" t="s">
        <v>290</v>
      </c>
      <c r="C141" s="287" t="s">
        <v>384</v>
      </c>
      <c r="D141" s="287" t="s">
        <v>260</v>
      </c>
      <c r="E141" s="287" t="s">
        <v>348</v>
      </c>
      <c r="F141" s="287" t="s">
        <v>291</v>
      </c>
      <c r="G141" s="312"/>
      <c r="H141" s="313"/>
      <c r="I141" s="323"/>
      <c r="J141" s="323"/>
      <c r="K141" s="288">
        <f>1909+9</f>
        <v>1918</v>
      </c>
      <c r="L141" s="288">
        <v>1097.9000000000001</v>
      </c>
      <c r="M141" s="288">
        <v>1918</v>
      </c>
      <c r="N141" s="264">
        <v>9961.6</v>
      </c>
    </row>
    <row r="142" spans="1:14" ht="31.5" customHeight="1" thickBot="1">
      <c r="A142" s="303" t="s">
        <v>472</v>
      </c>
      <c r="B142" s="324" t="s">
        <v>261</v>
      </c>
      <c r="C142" s="283" t="s">
        <v>384</v>
      </c>
      <c r="D142" s="283" t="s">
        <v>262</v>
      </c>
      <c r="E142" s="283"/>
      <c r="F142" s="283"/>
      <c r="G142" s="310"/>
      <c r="H142" s="311"/>
      <c r="I142" s="322"/>
      <c r="J142" s="322"/>
      <c r="K142" s="284">
        <f>K145</f>
        <v>771</v>
      </c>
      <c r="L142" s="284">
        <f>L145</f>
        <v>358.1</v>
      </c>
      <c r="M142" s="284">
        <f>M145</f>
        <v>771</v>
      </c>
      <c r="N142" s="276">
        <f>N143+N146</f>
        <v>22691.899999999998</v>
      </c>
    </row>
    <row r="143" spans="1:14" ht="52.5" customHeight="1" thickBot="1">
      <c r="A143" s="303" t="s">
        <v>473</v>
      </c>
      <c r="B143" s="282" t="s">
        <v>558</v>
      </c>
      <c r="C143" s="283" t="s">
        <v>384</v>
      </c>
      <c r="D143" s="283" t="s">
        <v>262</v>
      </c>
      <c r="E143" s="283" t="s">
        <v>502</v>
      </c>
      <c r="F143" s="283"/>
      <c r="G143" s="310"/>
      <c r="H143" s="311"/>
      <c r="I143" s="322"/>
      <c r="J143" s="322"/>
      <c r="K143" s="284"/>
      <c r="L143" s="284"/>
      <c r="M143" s="284"/>
      <c r="N143" s="276">
        <f>N145</f>
        <v>3383.8</v>
      </c>
    </row>
    <row r="144" spans="1:14" ht="31.5" customHeight="1" thickBot="1">
      <c r="A144" s="295" t="s">
        <v>474</v>
      </c>
      <c r="B144" s="291" t="s">
        <v>288</v>
      </c>
      <c r="C144" s="287" t="s">
        <v>384</v>
      </c>
      <c r="D144" s="287" t="s">
        <v>262</v>
      </c>
      <c r="E144" s="287" t="s">
        <v>502</v>
      </c>
      <c r="F144" s="287" t="s">
        <v>289</v>
      </c>
      <c r="G144" s="312"/>
      <c r="H144" s="313"/>
      <c r="I144" s="323"/>
      <c r="J144" s="323"/>
      <c r="K144" s="288">
        <f>736+35</f>
        <v>771</v>
      </c>
      <c r="L144" s="288">
        <v>358.1</v>
      </c>
      <c r="M144" s="288">
        <v>771</v>
      </c>
      <c r="N144" s="264">
        <f>N145</f>
        <v>3383.8</v>
      </c>
    </row>
    <row r="145" spans="1:14" s="221" customFormat="1" ht="28.9" customHeight="1">
      <c r="A145" s="295" t="s">
        <v>475</v>
      </c>
      <c r="B145" s="286" t="s">
        <v>290</v>
      </c>
      <c r="C145" s="287" t="s">
        <v>384</v>
      </c>
      <c r="D145" s="287" t="s">
        <v>262</v>
      </c>
      <c r="E145" s="287" t="s">
        <v>502</v>
      </c>
      <c r="F145" s="287" t="s">
        <v>291</v>
      </c>
      <c r="G145" s="312"/>
      <c r="H145" s="313"/>
      <c r="I145" s="323"/>
      <c r="J145" s="323"/>
      <c r="K145" s="288">
        <f>736+35</f>
        <v>771</v>
      </c>
      <c r="L145" s="288">
        <v>358.1</v>
      </c>
      <c r="M145" s="288">
        <v>771</v>
      </c>
      <c r="N145" s="264">
        <v>3383.8</v>
      </c>
    </row>
    <row r="146" spans="1:14" s="221" customFormat="1" ht="24" customHeight="1">
      <c r="A146" s="328" t="s">
        <v>476</v>
      </c>
      <c r="B146" s="282" t="s">
        <v>347</v>
      </c>
      <c r="C146" s="300" t="s">
        <v>384</v>
      </c>
      <c r="D146" s="300" t="s">
        <v>262</v>
      </c>
      <c r="E146" s="300" t="s">
        <v>503</v>
      </c>
      <c r="F146" s="300"/>
      <c r="G146" s="338"/>
      <c r="H146" s="339"/>
      <c r="I146" s="349"/>
      <c r="J146" s="349"/>
      <c r="K146" s="350"/>
      <c r="L146" s="350"/>
      <c r="M146" s="350"/>
      <c r="N146" s="388">
        <f>N147+N149+N151</f>
        <v>19308.099999999999</v>
      </c>
    </row>
    <row r="147" spans="1:14" s="221" customFormat="1" ht="57" customHeight="1">
      <c r="A147" s="340" t="s">
        <v>477</v>
      </c>
      <c r="B147" s="286" t="s">
        <v>286</v>
      </c>
      <c r="C147" s="306" t="s">
        <v>384</v>
      </c>
      <c r="D147" s="306" t="s">
        <v>262</v>
      </c>
      <c r="E147" s="306" t="s">
        <v>348</v>
      </c>
      <c r="F147" s="306" t="s">
        <v>279</v>
      </c>
      <c r="G147" s="341" t="s">
        <v>386</v>
      </c>
      <c r="H147" s="342" t="e">
        <f>H148</f>
        <v>#REF!</v>
      </c>
      <c r="I147" s="342">
        <f>I148</f>
        <v>0</v>
      </c>
      <c r="J147" s="342" t="str">
        <f>J148</f>
        <v>12,7</v>
      </c>
      <c r="K147" s="320">
        <v>8250.9</v>
      </c>
      <c r="L147" s="342">
        <v>5168.5</v>
      </c>
      <c r="M147" s="342">
        <v>8250.9</v>
      </c>
      <c r="N147" s="395">
        <f>N148</f>
        <v>16708.5</v>
      </c>
    </row>
    <row r="148" spans="1:14" s="221" customFormat="1" ht="50.25" customHeight="1">
      <c r="A148" s="340" t="s">
        <v>478</v>
      </c>
      <c r="B148" s="286" t="s">
        <v>349</v>
      </c>
      <c r="C148" s="306" t="s">
        <v>384</v>
      </c>
      <c r="D148" s="306" t="s">
        <v>262</v>
      </c>
      <c r="E148" s="306" t="s">
        <v>503</v>
      </c>
      <c r="F148" s="306" t="s">
        <v>506</v>
      </c>
      <c r="G148" s="341" t="s">
        <v>386</v>
      </c>
      <c r="H148" s="342" t="e">
        <f>H150</f>
        <v>#REF!</v>
      </c>
      <c r="I148" s="342">
        <f>I150</f>
        <v>0</v>
      </c>
      <c r="J148" s="342" t="str">
        <f>J150</f>
        <v>12,7</v>
      </c>
      <c r="K148" s="320">
        <v>8250.9</v>
      </c>
      <c r="L148" s="342">
        <v>5168.5</v>
      </c>
      <c r="M148" s="342">
        <v>8250.9</v>
      </c>
      <c r="N148" s="395">
        <v>16708.5</v>
      </c>
    </row>
    <row r="149" spans="1:14" ht="32.25" customHeight="1">
      <c r="A149" s="340" t="s">
        <v>479</v>
      </c>
      <c r="B149" s="291" t="s">
        <v>288</v>
      </c>
      <c r="C149" s="306" t="s">
        <v>384</v>
      </c>
      <c r="D149" s="306" t="s">
        <v>262</v>
      </c>
      <c r="E149" s="306" t="s">
        <v>503</v>
      </c>
      <c r="F149" s="306" t="s">
        <v>289</v>
      </c>
      <c r="G149" s="341" t="s">
        <v>386</v>
      </c>
      <c r="H149" s="342" t="e">
        <f>[3]роспись!H173</f>
        <v>#REF!</v>
      </c>
      <c r="I149" s="342"/>
      <c r="J149" s="342" t="s">
        <v>389</v>
      </c>
      <c r="K149" s="320" t="e">
        <f>K150+#REF!</f>
        <v>#REF!</v>
      </c>
      <c r="L149" s="320" t="e">
        <f>L150+#REF!</f>
        <v>#REF!</v>
      </c>
      <c r="M149" s="320" t="e">
        <f>M150+#REF!</f>
        <v>#REF!</v>
      </c>
      <c r="N149" s="264">
        <f>N150</f>
        <v>2591.6</v>
      </c>
    </row>
    <row r="150" spans="1:14" ht="34.5" customHeight="1">
      <c r="A150" s="340" t="s">
        <v>480</v>
      </c>
      <c r="B150" s="286" t="s">
        <v>290</v>
      </c>
      <c r="C150" s="306" t="s">
        <v>384</v>
      </c>
      <c r="D150" s="306" t="s">
        <v>262</v>
      </c>
      <c r="E150" s="306" t="s">
        <v>503</v>
      </c>
      <c r="F150" s="306" t="s">
        <v>291</v>
      </c>
      <c r="G150" s="341" t="s">
        <v>386</v>
      </c>
      <c r="H150" s="342" t="e">
        <f>[3]роспись!H174</f>
        <v>#REF!</v>
      </c>
      <c r="I150" s="342"/>
      <c r="J150" s="342" t="s">
        <v>389</v>
      </c>
      <c r="K150" s="320" t="e">
        <f>#REF!+#REF!</f>
        <v>#REF!</v>
      </c>
      <c r="L150" s="320" t="e">
        <f>#REF!+#REF!</f>
        <v>#REF!</v>
      </c>
      <c r="M150" s="320" t="e">
        <f>#REF!+#REF!</f>
        <v>#REF!</v>
      </c>
      <c r="N150" s="264">
        <v>2591.6</v>
      </c>
    </row>
    <row r="151" spans="1:14" ht="25.5" customHeight="1">
      <c r="A151" s="340" t="s">
        <v>481</v>
      </c>
      <c r="B151" s="286" t="s">
        <v>350</v>
      </c>
      <c r="C151" s="306" t="s">
        <v>384</v>
      </c>
      <c r="D151" s="306" t="s">
        <v>262</v>
      </c>
      <c r="E151" s="306" t="s">
        <v>503</v>
      </c>
      <c r="F151" s="306" t="s">
        <v>293</v>
      </c>
      <c r="G151" s="312"/>
      <c r="H151" s="313"/>
      <c r="I151" s="323"/>
      <c r="J151" s="323"/>
      <c r="K151" s="288"/>
      <c r="L151" s="288"/>
      <c r="M151" s="288"/>
      <c r="N151" s="264">
        <f>N152</f>
        <v>8</v>
      </c>
    </row>
    <row r="152" spans="1:14" ht="28.5" customHeight="1" thickBot="1">
      <c r="A152" s="340" t="s">
        <v>482</v>
      </c>
      <c r="B152" s="286" t="s">
        <v>336</v>
      </c>
      <c r="C152" s="306" t="s">
        <v>384</v>
      </c>
      <c r="D152" s="306" t="s">
        <v>262</v>
      </c>
      <c r="E152" s="306" t="s">
        <v>503</v>
      </c>
      <c r="F152" s="306" t="s">
        <v>295</v>
      </c>
      <c r="G152" s="312"/>
      <c r="H152" s="313"/>
      <c r="I152" s="323"/>
      <c r="J152" s="323"/>
      <c r="K152" s="288"/>
      <c r="L152" s="288"/>
      <c r="M152" s="288"/>
      <c r="N152" s="393">
        <v>8</v>
      </c>
    </row>
    <row r="153" spans="1:14" ht="21.6" customHeight="1" thickBot="1">
      <c r="A153" s="303" t="s">
        <v>483</v>
      </c>
      <c r="B153" s="382" t="s">
        <v>520</v>
      </c>
      <c r="C153" s="283" t="s">
        <v>384</v>
      </c>
      <c r="D153" s="283">
        <v>1000</v>
      </c>
      <c r="E153" s="283"/>
      <c r="F153" s="283"/>
      <c r="G153" s="312"/>
      <c r="H153" s="313"/>
      <c r="I153" s="323"/>
      <c r="J153" s="323"/>
      <c r="K153" s="284" t="e">
        <f>K158+K154</f>
        <v>#REF!</v>
      </c>
      <c r="L153" s="284" t="e">
        <f>L158+L154</f>
        <v>#REF!</v>
      </c>
      <c r="M153" s="284" t="e">
        <f>M158+M154</f>
        <v>#REF!</v>
      </c>
      <c r="N153" s="262">
        <f>N154+N158</f>
        <v>1903.8000000000002</v>
      </c>
    </row>
    <row r="154" spans="1:14" ht="23.45" customHeight="1" thickBot="1">
      <c r="A154" s="303" t="s">
        <v>193</v>
      </c>
      <c r="B154" s="282" t="s">
        <v>263</v>
      </c>
      <c r="C154" s="283" t="s">
        <v>384</v>
      </c>
      <c r="D154" s="283" t="s">
        <v>264</v>
      </c>
      <c r="E154" s="283"/>
      <c r="F154" s="283"/>
      <c r="G154" s="310"/>
      <c r="H154" s="311"/>
      <c r="I154" s="322"/>
      <c r="J154" s="322"/>
      <c r="K154" s="284">
        <f>K155</f>
        <v>172.4</v>
      </c>
      <c r="L154" s="284">
        <f>L155</f>
        <v>114.9</v>
      </c>
      <c r="M154" s="284">
        <f>M155</f>
        <v>172.4</v>
      </c>
      <c r="N154" s="275">
        <f>N155</f>
        <v>1155.9000000000001</v>
      </c>
    </row>
    <row r="155" spans="1:14" ht="45.75" customHeight="1">
      <c r="A155" s="303" t="s">
        <v>196</v>
      </c>
      <c r="B155" s="343" t="s">
        <v>484</v>
      </c>
      <c r="C155" s="290" t="s">
        <v>384</v>
      </c>
      <c r="D155" s="290" t="s">
        <v>264</v>
      </c>
      <c r="E155" s="283" t="s">
        <v>352</v>
      </c>
      <c r="F155" s="290"/>
      <c r="G155" s="310"/>
      <c r="H155" s="311"/>
      <c r="I155" s="322"/>
      <c r="J155" s="322"/>
      <c r="K155" s="284">
        <f>K157</f>
        <v>172.4</v>
      </c>
      <c r="L155" s="284">
        <f>L157</f>
        <v>114.9</v>
      </c>
      <c r="M155" s="284">
        <f>M157</f>
        <v>172.4</v>
      </c>
      <c r="N155" s="276">
        <f>N157</f>
        <v>1155.9000000000001</v>
      </c>
    </row>
    <row r="156" spans="1:14" ht="24.75" customHeight="1">
      <c r="A156" s="295" t="s">
        <v>199</v>
      </c>
      <c r="B156" s="292" t="s">
        <v>353</v>
      </c>
      <c r="C156" s="330" t="s">
        <v>384</v>
      </c>
      <c r="D156" s="330" t="s">
        <v>264</v>
      </c>
      <c r="E156" s="287" t="s">
        <v>352</v>
      </c>
      <c r="F156" s="330" t="s">
        <v>354</v>
      </c>
      <c r="G156" s="312"/>
      <c r="H156" s="313"/>
      <c r="I156" s="323"/>
      <c r="J156" s="323"/>
      <c r="K156" s="288">
        <v>172.4</v>
      </c>
      <c r="L156" s="288">
        <v>114.9</v>
      </c>
      <c r="M156" s="288">
        <v>172.4</v>
      </c>
      <c r="N156" s="264">
        <f>N157</f>
        <v>1155.9000000000001</v>
      </c>
    </row>
    <row r="157" spans="1:14" ht="18.600000000000001" customHeight="1">
      <c r="A157" s="295" t="s">
        <v>485</v>
      </c>
      <c r="B157" s="292" t="s">
        <v>355</v>
      </c>
      <c r="C157" s="330" t="s">
        <v>384</v>
      </c>
      <c r="D157" s="330" t="s">
        <v>264</v>
      </c>
      <c r="E157" s="287" t="s">
        <v>352</v>
      </c>
      <c r="F157" s="330" t="s">
        <v>356</v>
      </c>
      <c r="G157" s="312"/>
      <c r="H157" s="313"/>
      <c r="I157" s="323"/>
      <c r="J157" s="323"/>
      <c r="K157" s="288">
        <v>172.4</v>
      </c>
      <c r="L157" s="288">
        <v>114.9</v>
      </c>
      <c r="M157" s="288">
        <v>172.4</v>
      </c>
      <c r="N157" s="264">
        <v>1155.9000000000001</v>
      </c>
    </row>
    <row r="158" spans="1:14" ht="20.25" customHeight="1">
      <c r="A158" s="303" t="s">
        <v>486</v>
      </c>
      <c r="B158" s="294" t="s">
        <v>265</v>
      </c>
      <c r="C158" s="283" t="s">
        <v>384</v>
      </c>
      <c r="D158" s="283" t="s">
        <v>266</v>
      </c>
      <c r="E158" s="283"/>
      <c r="F158" s="283"/>
      <c r="G158" s="312"/>
      <c r="H158" s="313"/>
      <c r="I158" s="323"/>
      <c r="J158" s="323"/>
      <c r="K158" s="284" t="e">
        <f>#REF!+#REF!+K159</f>
        <v>#REF!</v>
      </c>
      <c r="L158" s="284" t="e">
        <f>#REF!+#REF!+L159</f>
        <v>#REF!</v>
      </c>
      <c r="M158" s="284" t="e">
        <f>#REF!+#REF!+M159</f>
        <v>#REF!</v>
      </c>
      <c r="N158" s="276">
        <f>N159</f>
        <v>747.9</v>
      </c>
    </row>
    <row r="159" spans="1:14" ht="54.75" customHeight="1">
      <c r="A159" s="293" t="s">
        <v>208</v>
      </c>
      <c r="B159" s="294" t="s">
        <v>357</v>
      </c>
      <c r="C159" s="283" t="s">
        <v>384</v>
      </c>
      <c r="D159" s="283" t="s">
        <v>266</v>
      </c>
      <c r="E159" s="283" t="s">
        <v>358</v>
      </c>
      <c r="F159" s="283"/>
      <c r="G159" s="312"/>
      <c r="H159" s="313"/>
      <c r="I159" s="323"/>
      <c r="J159" s="323"/>
      <c r="K159" s="337">
        <f>K161</f>
        <v>602.4</v>
      </c>
      <c r="L159" s="337">
        <f>L161</f>
        <v>229.4</v>
      </c>
      <c r="M159" s="337">
        <f>M161</f>
        <v>344.1</v>
      </c>
      <c r="N159" s="400">
        <f>N161</f>
        <v>747.9</v>
      </c>
    </row>
    <row r="160" spans="1:14" ht="22.5" customHeight="1">
      <c r="A160" s="295" t="s">
        <v>211</v>
      </c>
      <c r="B160" s="292" t="s">
        <v>353</v>
      </c>
      <c r="C160" s="287" t="s">
        <v>384</v>
      </c>
      <c r="D160" s="287" t="s">
        <v>266</v>
      </c>
      <c r="E160" s="287" t="s">
        <v>358</v>
      </c>
      <c r="F160" s="287" t="s">
        <v>354</v>
      </c>
      <c r="G160" s="312"/>
      <c r="H160" s="313"/>
      <c r="I160" s="323"/>
      <c r="J160" s="323"/>
      <c r="K160" s="288">
        <v>602.4</v>
      </c>
      <c r="L160" s="288">
        <v>229.4</v>
      </c>
      <c r="M160" s="288">
        <v>344.1</v>
      </c>
      <c r="N160" s="264">
        <f>N161</f>
        <v>747.9</v>
      </c>
    </row>
    <row r="161" spans="1:16" ht="24" customHeight="1" thickBot="1">
      <c r="A161" s="295" t="s">
        <v>487</v>
      </c>
      <c r="B161" s="292" t="s">
        <v>355</v>
      </c>
      <c r="C161" s="287" t="s">
        <v>384</v>
      </c>
      <c r="D161" s="287" t="s">
        <v>266</v>
      </c>
      <c r="E161" s="287" t="s">
        <v>358</v>
      </c>
      <c r="F161" s="287" t="s">
        <v>356</v>
      </c>
      <c r="G161" s="312"/>
      <c r="H161" s="313"/>
      <c r="I161" s="323"/>
      <c r="J161" s="323"/>
      <c r="K161" s="288">
        <v>602.4</v>
      </c>
      <c r="L161" s="288">
        <v>229.4</v>
      </c>
      <c r="M161" s="288">
        <v>344.1</v>
      </c>
      <c r="N161" s="393">
        <v>747.9</v>
      </c>
    </row>
    <row r="162" spans="1:16" ht="22.5" customHeight="1" thickBot="1">
      <c r="A162" s="303" t="s">
        <v>488</v>
      </c>
      <c r="B162" s="382" t="s">
        <v>523</v>
      </c>
      <c r="C162" s="283" t="s">
        <v>384</v>
      </c>
      <c r="D162" s="283" t="s">
        <v>267</v>
      </c>
      <c r="E162" s="283"/>
      <c r="F162" s="312"/>
      <c r="G162" s="313"/>
      <c r="H162" s="323"/>
      <c r="I162" s="323"/>
      <c r="J162" s="284">
        <f>J163</f>
        <v>0</v>
      </c>
      <c r="K162" s="284">
        <f>K163</f>
        <v>0</v>
      </c>
      <c r="L162" s="284">
        <f>L163</f>
        <v>0</v>
      </c>
      <c r="M162" s="351" t="e">
        <f>M163</f>
        <v>#REF!</v>
      </c>
      <c r="N162" s="262">
        <f>N163</f>
        <v>4349.2</v>
      </c>
    </row>
    <row r="163" spans="1:16" ht="27" customHeight="1" thickBot="1">
      <c r="A163" s="303" t="s">
        <v>489</v>
      </c>
      <c r="B163" s="294" t="s">
        <v>268</v>
      </c>
      <c r="C163" s="283" t="s">
        <v>384</v>
      </c>
      <c r="D163" s="283" t="s">
        <v>269</v>
      </c>
      <c r="E163" s="283"/>
      <c r="F163" s="310"/>
      <c r="G163" s="311"/>
      <c r="H163" s="322"/>
      <c r="I163" s="322"/>
      <c r="J163" s="284">
        <f>J167</f>
        <v>0</v>
      </c>
      <c r="K163" s="284">
        <f>K167</f>
        <v>0</v>
      </c>
      <c r="L163" s="284">
        <f>L167</f>
        <v>0</v>
      </c>
      <c r="M163" s="351" t="e">
        <f>M167+#REF!</f>
        <v>#REF!</v>
      </c>
      <c r="N163" s="275">
        <f>N164+N167</f>
        <v>4349.2</v>
      </c>
    </row>
    <row r="164" spans="1:16" ht="81.75" customHeight="1" thickBot="1">
      <c r="A164" s="303" t="s">
        <v>492</v>
      </c>
      <c r="B164" s="384" t="s">
        <v>562</v>
      </c>
      <c r="C164" s="283" t="s">
        <v>384</v>
      </c>
      <c r="D164" s="283" t="s">
        <v>269</v>
      </c>
      <c r="E164" s="283" t="s">
        <v>505</v>
      </c>
      <c r="F164" s="287"/>
      <c r="G164" s="312"/>
      <c r="H164" s="313"/>
      <c r="I164" s="323"/>
      <c r="J164" s="323"/>
      <c r="K164" s="288">
        <f>697-44</f>
        <v>653</v>
      </c>
      <c r="L164" s="288">
        <v>424.3</v>
      </c>
      <c r="M164" s="288">
        <v>653</v>
      </c>
      <c r="N164" s="276">
        <f>N165</f>
        <v>2912.1</v>
      </c>
    </row>
    <row r="165" spans="1:16" ht="39" customHeight="1" thickBot="1">
      <c r="A165" s="295" t="s">
        <v>490</v>
      </c>
      <c r="B165" s="286" t="s">
        <v>526</v>
      </c>
      <c r="C165" s="287" t="s">
        <v>384</v>
      </c>
      <c r="D165" s="287" t="s">
        <v>269</v>
      </c>
      <c r="E165" s="287" t="s">
        <v>505</v>
      </c>
      <c r="F165" s="287" t="s">
        <v>289</v>
      </c>
      <c r="G165" s="312"/>
      <c r="H165" s="313"/>
      <c r="I165" s="323"/>
      <c r="J165" s="323"/>
      <c r="K165" s="288">
        <f>697-44</f>
        <v>653</v>
      </c>
      <c r="L165" s="288">
        <v>424.3</v>
      </c>
      <c r="M165" s="288">
        <v>653</v>
      </c>
      <c r="N165" s="264">
        <f>N166</f>
        <v>2912.1</v>
      </c>
    </row>
    <row r="166" spans="1:16" ht="41.25" customHeight="1" thickBot="1">
      <c r="A166" s="295" t="s">
        <v>491</v>
      </c>
      <c r="B166" s="286" t="s">
        <v>290</v>
      </c>
      <c r="C166" s="287" t="s">
        <v>384</v>
      </c>
      <c r="D166" s="287" t="s">
        <v>269</v>
      </c>
      <c r="E166" s="287" t="s">
        <v>505</v>
      </c>
      <c r="F166" s="287" t="s">
        <v>291</v>
      </c>
      <c r="G166" s="312"/>
      <c r="H166" s="313"/>
      <c r="I166" s="323"/>
      <c r="J166" s="323"/>
      <c r="K166" s="288">
        <f>697-44</f>
        <v>653</v>
      </c>
      <c r="L166" s="288">
        <v>424.3</v>
      </c>
      <c r="M166" s="288">
        <v>653</v>
      </c>
      <c r="N166" s="264">
        <v>2912.1</v>
      </c>
    </row>
    <row r="167" spans="1:16" ht="26.25" customHeight="1" thickBot="1">
      <c r="A167" s="328" t="s">
        <v>492</v>
      </c>
      <c r="B167" s="282" t="s">
        <v>347</v>
      </c>
      <c r="C167" s="300" t="s">
        <v>384</v>
      </c>
      <c r="D167" s="300" t="s">
        <v>269</v>
      </c>
      <c r="E167" s="300" t="s">
        <v>503</v>
      </c>
      <c r="F167" s="300"/>
      <c r="G167" s="338"/>
      <c r="H167" s="339"/>
      <c r="I167" s="349"/>
      <c r="J167" s="349"/>
      <c r="K167" s="350"/>
      <c r="L167" s="350"/>
      <c r="M167" s="350"/>
      <c r="N167" s="388">
        <f>N168</f>
        <v>1437.1</v>
      </c>
    </row>
    <row r="168" spans="1:16" ht="60.75" customHeight="1">
      <c r="A168" s="340" t="s">
        <v>490</v>
      </c>
      <c r="B168" s="286" t="s">
        <v>286</v>
      </c>
      <c r="C168" s="306" t="s">
        <v>384</v>
      </c>
      <c r="D168" s="306" t="s">
        <v>269</v>
      </c>
      <c r="E168" s="306" t="s">
        <v>503</v>
      </c>
      <c r="F168" s="306" t="s">
        <v>279</v>
      </c>
      <c r="G168" s="341" t="s">
        <v>386</v>
      </c>
      <c r="H168" s="342" t="e">
        <f>H169</f>
        <v>#REF!</v>
      </c>
      <c r="I168" s="342" t="e">
        <f>I169</f>
        <v>#REF!</v>
      </c>
      <c r="J168" s="342" t="e">
        <f>J169</f>
        <v>#REF!</v>
      </c>
      <c r="K168" s="320">
        <v>8250.9</v>
      </c>
      <c r="L168" s="342">
        <v>5168.5</v>
      </c>
      <c r="M168" s="342">
        <v>8250.9</v>
      </c>
      <c r="N168" s="395">
        <f>N169</f>
        <v>1437.1</v>
      </c>
    </row>
    <row r="169" spans="1:16" ht="39.75" customHeight="1" thickBot="1">
      <c r="A169" s="340" t="s">
        <v>491</v>
      </c>
      <c r="B169" s="286" t="s">
        <v>349</v>
      </c>
      <c r="C169" s="306" t="s">
        <v>384</v>
      </c>
      <c r="D169" s="306" t="s">
        <v>269</v>
      </c>
      <c r="E169" s="306" t="s">
        <v>503</v>
      </c>
      <c r="F169" s="306" t="s">
        <v>506</v>
      </c>
      <c r="G169" s="341" t="s">
        <v>386</v>
      </c>
      <c r="H169" s="342" t="e">
        <f>#REF!</f>
        <v>#REF!</v>
      </c>
      <c r="I169" s="342" t="e">
        <f>#REF!</f>
        <v>#REF!</v>
      </c>
      <c r="J169" s="342" t="e">
        <f>#REF!</f>
        <v>#REF!</v>
      </c>
      <c r="K169" s="320">
        <v>8250.9</v>
      </c>
      <c r="L169" s="342">
        <v>5168.5</v>
      </c>
      <c r="M169" s="342">
        <v>8250.9</v>
      </c>
      <c r="N169" s="395">
        <v>1437.1</v>
      </c>
    </row>
    <row r="170" spans="1:16" ht="27" customHeight="1" thickBot="1">
      <c r="A170" s="303" t="s">
        <v>493</v>
      </c>
      <c r="B170" s="382" t="s">
        <v>524</v>
      </c>
      <c r="C170" s="283" t="s">
        <v>384</v>
      </c>
      <c r="D170" s="283" t="s">
        <v>270</v>
      </c>
      <c r="E170" s="283"/>
      <c r="F170" s="283"/>
      <c r="G170" s="312"/>
      <c r="H170" s="313"/>
      <c r="I170" s="323"/>
      <c r="J170" s="323"/>
      <c r="K170" s="284" t="e">
        <f>K171</f>
        <v>#REF!</v>
      </c>
      <c r="L170" s="284" t="e">
        <f>L171</f>
        <v>#REF!</v>
      </c>
      <c r="M170" s="284" t="e">
        <f>M171</f>
        <v>#REF!</v>
      </c>
      <c r="N170" s="262">
        <f>N171</f>
        <v>1093.5999999999999</v>
      </c>
    </row>
    <row r="171" spans="1:16" ht="22.9" customHeight="1" thickBot="1">
      <c r="A171" s="303" t="s">
        <v>494</v>
      </c>
      <c r="B171" s="294" t="s">
        <v>271</v>
      </c>
      <c r="C171" s="283" t="s">
        <v>384</v>
      </c>
      <c r="D171" s="283" t="s">
        <v>272</v>
      </c>
      <c r="E171" s="283"/>
      <c r="F171" s="283"/>
      <c r="G171" s="310"/>
      <c r="H171" s="311"/>
      <c r="I171" s="322"/>
      <c r="J171" s="322"/>
      <c r="K171" s="284" t="e">
        <f>K172+#REF!</f>
        <v>#REF!</v>
      </c>
      <c r="L171" s="284" t="e">
        <f>L172+#REF!</f>
        <v>#REF!</v>
      </c>
      <c r="M171" s="284" t="e">
        <f>M172+#REF!</f>
        <v>#REF!</v>
      </c>
      <c r="N171" s="275">
        <f>N172</f>
        <v>1093.5999999999999</v>
      </c>
    </row>
    <row r="172" spans="1:16" ht="121.5" customHeight="1">
      <c r="A172" s="303" t="s">
        <v>495</v>
      </c>
      <c r="B172" s="383" t="s">
        <v>563</v>
      </c>
      <c r="C172" s="283" t="s">
        <v>384</v>
      </c>
      <c r="D172" s="283" t="s">
        <v>272</v>
      </c>
      <c r="E172" s="283" t="s">
        <v>359</v>
      </c>
      <c r="F172" s="283"/>
      <c r="G172" s="310"/>
      <c r="H172" s="311"/>
      <c r="I172" s="322"/>
      <c r="J172" s="322"/>
      <c r="K172" s="284">
        <f>K174</f>
        <v>653.9</v>
      </c>
      <c r="L172" s="284">
        <f>L174</f>
        <v>388.9</v>
      </c>
      <c r="M172" s="284">
        <f>M174</f>
        <v>653.9</v>
      </c>
      <c r="N172" s="276">
        <f>N173</f>
        <v>1093.5999999999999</v>
      </c>
    </row>
    <row r="173" spans="1:16" ht="32.25" customHeight="1">
      <c r="A173" s="295" t="s">
        <v>496</v>
      </c>
      <c r="B173" s="292" t="s">
        <v>288</v>
      </c>
      <c r="C173" s="287" t="s">
        <v>384</v>
      </c>
      <c r="D173" s="287" t="s">
        <v>272</v>
      </c>
      <c r="E173" s="287" t="s">
        <v>359</v>
      </c>
      <c r="F173" s="287" t="s">
        <v>289</v>
      </c>
      <c r="G173" s="312"/>
      <c r="H173" s="313"/>
      <c r="I173" s="323"/>
      <c r="J173" s="323"/>
      <c r="K173" s="288">
        <v>653.9</v>
      </c>
      <c r="L173" s="288">
        <v>388.9</v>
      </c>
      <c r="M173" s="288">
        <v>653.9</v>
      </c>
      <c r="N173" s="264">
        <f>N174</f>
        <v>1093.5999999999999</v>
      </c>
    </row>
    <row r="174" spans="1:16" ht="36" customHeight="1">
      <c r="A174" s="295" t="s">
        <v>497</v>
      </c>
      <c r="B174" s="286" t="s">
        <v>290</v>
      </c>
      <c r="C174" s="287" t="s">
        <v>384</v>
      </c>
      <c r="D174" s="287" t="s">
        <v>272</v>
      </c>
      <c r="E174" s="287" t="s">
        <v>359</v>
      </c>
      <c r="F174" s="287" t="s">
        <v>291</v>
      </c>
      <c r="G174" s="312"/>
      <c r="H174" s="313"/>
      <c r="I174" s="323"/>
      <c r="J174" s="323"/>
      <c r="K174" s="288">
        <v>653.9</v>
      </c>
      <c r="L174" s="288">
        <v>388.9</v>
      </c>
      <c r="M174" s="288">
        <v>653.9</v>
      </c>
      <c r="N174" s="264">
        <v>1093.5999999999999</v>
      </c>
    </row>
    <row r="175" spans="1:16" ht="21" customHeight="1">
      <c r="A175" s="344"/>
      <c r="B175" s="345" t="s">
        <v>273</v>
      </c>
      <c r="C175" s="346"/>
      <c r="D175" s="344"/>
      <c r="E175" s="344"/>
      <c r="F175" s="344"/>
      <c r="G175" s="347"/>
      <c r="H175" s="348"/>
      <c r="I175" s="352"/>
      <c r="J175" s="352"/>
      <c r="K175" s="353" t="e">
        <f>K10+K36</f>
        <v>#REF!</v>
      </c>
      <c r="L175" s="353" t="e">
        <f>L10+L36</f>
        <v>#REF!</v>
      </c>
      <c r="M175" s="353" t="e">
        <f>M10+M36</f>
        <v>#REF!</v>
      </c>
      <c r="N175" s="401">
        <f>N11+N37+N87+N92+N107+N125+N137+N153+N162+N170</f>
        <v>216883.30000000002</v>
      </c>
    </row>
    <row r="176" spans="1:16">
      <c r="P176" s="136"/>
    </row>
  </sheetData>
  <mergeCells count="6">
    <mergeCell ref="A6:N6"/>
    <mergeCell ref="A7:N7"/>
    <mergeCell ref="B1:N1"/>
    <mergeCell ref="B2:N2"/>
    <mergeCell ref="B3:N3"/>
    <mergeCell ref="D4:N4"/>
  </mergeCells>
  <pageMargins left="0.31496062992125984" right="0.19685039370078741" top="0.15748031496062992" bottom="0.15748031496062992" header="0.31496062992125984" footer="0.31496062992125984"/>
  <pageSetup paperSize="9" scale="75" fitToHeight="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workbookViewId="0">
      <selection activeCell="C17" sqref="C17"/>
    </sheetView>
  </sheetViews>
  <sheetFormatPr defaultColWidth="8.7109375" defaultRowHeight="12.75"/>
  <cols>
    <col min="1" max="1" width="17" style="137" customWidth="1"/>
    <col min="2" max="3" width="10.140625" style="137" customWidth="1"/>
    <col min="4" max="4" width="9.140625" style="138" customWidth="1"/>
    <col min="5" max="5" width="5.140625" style="139" customWidth="1"/>
    <col min="6" max="6" width="6.85546875" style="139" customWidth="1"/>
    <col min="7" max="7" width="8.5703125" style="137" customWidth="1"/>
    <col min="8" max="8" width="15.7109375" style="140" customWidth="1"/>
    <col min="9" max="9" width="13.140625" style="141" customWidth="1"/>
    <col min="10" max="10" width="13.5703125" style="141" customWidth="1"/>
    <col min="11" max="16384" width="8.7109375" style="141"/>
  </cols>
  <sheetData>
    <row r="1" spans="1:10">
      <c r="A1" s="142" t="s">
        <v>0</v>
      </c>
      <c r="F1" s="405"/>
      <c r="G1" s="406"/>
      <c r="H1" s="406"/>
    </row>
    <row r="2" spans="1:10">
      <c r="A2" s="142"/>
      <c r="F2" s="143"/>
      <c r="G2" s="144"/>
      <c r="H2" s="144"/>
    </row>
    <row r="3" spans="1:10">
      <c r="A3" s="145" t="s">
        <v>1</v>
      </c>
      <c r="B3" s="145" t="s">
        <v>2</v>
      </c>
      <c r="C3" s="145" t="s">
        <v>3</v>
      </c>
      <c r="D3" s="146" t="s">
        <v>4</v>
      </c>
      <c r="E3" s="147" t="s">
        <v>5</v>
      </c>
      <c r="F3" s="147" t="s">
        <v>6</v>
      </c>
      <c r="G3" s="145" t="s">
        <v>7</v>
      </c>
      <c r="H3" s="148" t="s">
        <v>8</v>
      </c>
    </row>
    <row r="4" spans="1:10">
      <c r="A4" s="149" t="s">
        <v>9</v>
      </c>
      <c r="B4" s="149">
        <v>1</v>
      </c>
      <c r="C4" s="149">
        <v>24</v>
      </c>
      <c r="D4" s="150">
        <v>870</v>
      </c>
      <c r="E4" s="151"/>
      <c r="F4" s="151">
        <v>0.1</v>
      </c>
      <c r="G4" s="149">
        <v>12</v>
      </c>
      <c r="H4" s="152">
        <f>B4*(2+E4+F4)*(C4*D4)*G4</f>
        <v>526176</v>
      </c>
      <c r="I4" s="218"/>
    </row>
    <row r="5" spans="1:10">
      <c r="A5" s="153" t="s">
        <v>9</v>
      </c>
      <c r="B5" s="154"/>
      <c r="C5" s="155"/>
      <c r="D5" s="156">
        <v>0.26200000000000001</v>
      </c>
      <c r="E5" s="157"/>
      <c r="F5" s="157"/>
      <c r="G5" s="153">
        <v>12</v>
      </c>
      <c r="H5" s="158">
        <f>H4*D5</f>
        <v>137858.11199999999</v>
      </c>
      <c r="I5" s="218"/>
      <c r="J5" s="219">
        <f>H4+H5</f>
        <v>664034.11199999996</v>
      </c>
    </row>
    <row r="6" spans="1:10">
      <c r="A6" s="159" t="s">
        <v>10</v>
      </c>
      <c r="B6" s="153">
        <v>1</v>
      </c>
      <c r="C6" s="155">
        <v>18</v>
      </c>
      <c r="D6" s="160">
        <v>870</v>
      </c>
      <c r="E6" s="157">
        <v>0.1</v>
      </c>
      <c r="F6" s="157">
        <v>0.1</v>
      </c>
      <c r="G6" s="153">
        <v>12</v>
      </c>
      <c r="H6" s="161">
        <f>B6*(2+E6+F6)*(C6*D6)*G6</f>
        <v>413424</v>
      </c>
      <c r="I6" s="218"/>
      <c r="J6" s="218"/>
    </row>
    <row r="7" spans="1:10">
      <c r="A7" s="159" t="s">
        <v>11</v>
      </c>
      <c r="B7" s="153">
        <v>1</v>
      </c>
      <c r="C7" s="155">
        <v>18</v>
      </c>
      <c r="D7" s="160">
        <v>870</v>
      </c>
      <c r="E7" s="157">
        <v>0.1</v>
      </c>
      <c r="F7" s="157">
        <v>0.1</v>
      </c>
      <c r="G7" s="153">
        <v>12</v>
      </c>
      <c r="H7" s="161">
        <f>B7*(2+E7+F7)*(C7*D7)*G7</f>
        <v>413424</v>
      </c>
      <c r="I7" s="218"/>
      <c r="J7" s="218"/>
    </row>
    <row r="8" spans="1:10">
      <c r="A8" s="162" t="s">
        <v>12</v>
      </c>
      <c r="B8" s="163">
        <v>1</v>
      </c>
      <c r="C8" s="164">
        <v>12</v>
      </c>
      <c r="D8" s="160">
        <v>870</v>
      </c>
      <c r="E8" s="165"/>
      <c r="F8" s="165">
        <v>0.1</v>
      </c>
      <c r="G8" s="153">
        <v>12</v>
      </c>
      <c r="H8" s="161">
        <f>B8*(2+E8+F8)*(C8*D8)*G8</f>
        <v>263088</v>
      </c>
      <c r="I8" s="218"/>
    </row>
    <row r="9" spans="1:10">
      <c r="A9" s="159" t="s">
        <v>13</v>
      </c>
      <c r="B9" s="153">
        <f>SUM(B6:B8)</f>
        <v>3</v>
      </c>
      <c r="C9" s="155"/>
      <c r="D9" s="160"/>
      <c r="E9" s="157"/>
      <c r="F9" s="157"/>
      <c r="G9" s="153"/>
      <c r="H9" s="161">
        <f>SUM(H6:H8)</f>
        <v>1089936</v>
      </c>
      <c r="I9" s="218"/>
      <c r="J9" s="218"/>
    </row>
    <row r="10" spans="1:10">
      <c r="A10" s="159" t="s">
        <v>13</v>
      </c>
      <c r="B10" s="166"/>
      <c r="C10" s="167"/>
      <c r="D10" s="168">
        <v>0.26200000000000001</v>
      </c>
      <c r="E10" s="169"/>
      <c r="F10" s="169"/>
      <c r="G10" s="170"/>
      <c r="H10" s="171">
        <f>H9*D10</f>
        <v>285563.23200000002</v>
      </c>
      <c r="I10" s="218"/>
      <c r="J10" s="219">
        <f>H9+H10</f>
        <v>1375499.2320000001</v>
      </c>
    </row>
    <row r="11" spans="1:10">
      <c r="A11" s="159"/>
      <c r="B11" s="153"/>
      <c r="C11" s="155"/>
      <c r="D11" s="160"/>
      <c r="E11" s="157"/>
      <c r="F11" s="157"/>
      <c r="G11" s="153"/>
      <c r="H11" s="161"/>
      <c r="I11" s="218"/>
      <c r="J11" s="218"/>
    </row>
    <row r="12" spans="1:10">
      <c r="A12" s="172"/>
      <c r="B12" s="166"/>
      <c r="C12" s="167"/>
      <c r="D12" s="168"/>
      <c r="E12" s="169"/>
      <c r="F12" s="169"/>
      <c r="G12" s="170"/>
      <c r="H12" s="171"/>
      <c r="I12" s="218"/>
      <c r="J12" s="219"/>
    </row>
    <row r="13" spans="1:10">
      <c r="B13" s="144"/>
      <c r="C13" s="173"/>
      <c r="E13" s="174"/>
      <c r="F13" s="174"/>
      <c r="G13" s="144"/>
      <c r="I13" s="218"/>
    </row>
    <row r="14" spans="1:10">
      <c r="A14" s="175" t="s">
        <v>1</v>
      </c>
      <c r="B14" s="175" t="s">
        <v>2</v>
      </c>
      <c r="C14" s="175" t="s">
        <v>3</v>
      </c>
      <c r="D14" s="176" t="s">
        <v>4</v>
      </c>
      <c r="E14" s="177" t="s">
        <v>5</v>
      </c>
      <c r="F14" s="177" t="s">
        <v>6</v>
      </c>
      <c r="G14" s="178" t="s">
        <v>7</v>
      </c>
      <c r="H14" s="179" t="s">
        <v>8</v>
      </c>
      <c r="I14" s="218"/>
    </row>
    <row r="15" spans="1:10">
      <c r="A15" s="180" t="s">
        <v>14</v>
      </c>
      <c r="B15" s="149">
        <v>1</v>
      </c>
      <c r="C15" s="149">
        <v>24</v>
      </c>
      <c r="D15" s="150">
        <v>870</v>
      </c>
      <c r="E15" s="151">
        <v>0.2</v>
      </c>
      <c r="F15" s="151">
        <v>0.25</v>
      </c>
      <c r="G15" s="149">
        <v>12</v>
      </c>
      <c r="H15" s="152">
        <f>(B15*2+E15+F15)*(C15*D15)*G15</f>
        <v>613872</v>
      </c>
      <c r="I15" s="218"/>
    </row>
    <row r="16" spans="1:10" ht="15">
      <c r="A16" s="166" t="s">
        <v>14</v>
      </c>
      <c r="B16" s="166"/>
      <c r="C16" s="167"/>
      <c r="D16" s="168">
        <v>0.26200000000000001</v>
      </c>
      <c r="E16" s="169"/>
      <c r="F16" s="169"/>
      <c r="G16" s="170">
        <v>12</v>
      </c>
      <c r="H16" s="181">
        <f>H15*D16</f>
        <v>160834.46400000001</v>
      </c>
      <c r="I16" s="218"/>
      <c r="J16" s="219">
        <f>H16+H15</f>
        <v>774706.46400000004</v>
      </c>
    </row>
    <row r="17" spans="1:10" ht="15">
      <c r="A17" s="143"/>
      <c r="B17" s="182"/>
      <c r="C17" s="183"/>
      <c r="D17" s="184"/>
      <c r="E17" s="185"/>
      <c r="F17" s="185"/>
      <c r="G17" s="186"/>
      <c r="H17" s="187"/>
      <c r="I17" s="218"/>
      <c r="J17" s="219"/>
    </row>
    <row r="18" spans="1:10">
      <c r="A18" s="142" t="s">
        <v>15</v>
      </c>
      <c r="B18" s="149">
        <v>1</v>
      </c>
      <c r="C18" s="188">
        <v>20</v>
      </c>
      <c r="D18" s="150">
        <v>870</v>
      </c>
      <c r="E18" s="151">
        <v>0.2</v>
      </c>
      <c r="F18" s="151">
        <v>0.15</v>
      </c>
      <c r="G18" s="149">
        <v>12</v>
      </c>
      <c r="H18" s="152">
        <f t="shared" ref="H18:H24" si="0">B18*(2+E18+F18)*(C18*D18)*G18</f>
        <v>490680</v>
      </c>
      <c r="I18" s="218"/>
    </row>
    <row r="19" spans="1:10">
      <c r="A19" s="159" t="s">
        <v>16</v>
      </c>
      <c r="B19" s="163">
        <v>1</v>
      </c>
      <c r="C19" s="164">
        <v>20</v>
      </c>
      <c r="D19" s="189">
        <v>870</v>
      </c>
      <c r="E19" s="165">
        <v>0.2</v>
      </c>
      <c r="F19" s="165">
        <v>0.1</v>
      </c>
      <c r="G19" s="153">
        <v>12</v>
      </c>
      <c r="H19" s="161">
        <f t="shared" si="0"/>
        <v>480240</v>
      </c>
      <c r="I19" s="218"/>
    </row>
    <row r="20" spans="1:10">
      <c r="A20" s="162" t="s">
        <v>17</v>
      </c>
      <c r="B20" s="163">
        <v>1</v>
      </c>
      <c r="C20" s="164">
        <v>18</v>
      </c>
      <c r="D20" s="189">
        <v>870</v>
      </c>
      <c r="E20" s="165">
        <v>0.2</v>
      </c>
      <c r="F20" s="165">
        <v>0.1</v>
      </c>
      <c r="G20" s="153">
        <v>12</v>
      </c>
      <c r="H20" s="161">
        <f t="shared" si="0"/>
        <v>432216</v>
      </c>
      <c r="I20" s="218"/>
      <c r="J20" s="218"/>
    </row>
    <row r="21" spans="1:10">
      <c r="A21" s="162" t="s">
        <v>17</v>
      </c>
      <c r="B21" s="163">
        <v>1</v>
      </c>
      <c r="C21" s="164">
        <v>18</v>
      </c>
      <c r="D21" s="189">
        <v>870</v>
      </c>
      <c r="E21" s="165">
        <v>0.2</v>
      </c>
      <c r="F21" s="165">
        <v>0.15</v>
      </c>
      <c r="G21" s="153">
        <v>12</v>
      </c>
      <c r="H21" s="161">
        <f t="shared" si="0"/>
        <v>441612</v>
      </c>
      <c r="I21" s="218"/>
      <c r="J21" s="218"/>
    </row>
    <row r="22" spans="1:10">
      <c r="A22" s="162" t="s">
        <v>18</v>
      </c>
      <c r="B22" s="163">
        <v>1</v>
      </c>
      <c r="C22" s="164">
        <v>16</v>
      </c>
      <c r="D22" s="160">
        <v>870</v>
      </c>
      <c r="E22" s="165">
        <f>(10*0.5)%</f>
        <v>0.05</v>
      </c>
      <c r="F22" s="165">
        <v>0.15</v>
      </c>
      <c r="G22" s="153">
        <v>12</v>
      </c>
      <c r="H22" s="161">
        <f t="shared" si="0"/>
        <v>367488</v>
      </c>
      <c r="I22" s="218"/>
    </row>
    <row r="23" spans="1:10">
      <c r="A23" s="162" t="s">
        <v>18</v>
      </c>
      <c r="B23" s="163">
        <v>1</v>
      </c>
      <c r="C23" s="164">
        <v>16</v>
      </c>
      <c r="D23" s="160">
        <v>870</v>
      </c>
      <c r="E23" s="165">
        <v>0.2</v>
      </c>
      <c r="F23" s="165">
        <v>0.25</v>
      </c>
      <c r="G23" s="153">
        <v>12</v>
      </c>
      <c r="H23" s="161">
        <f t="shared" si="0"/>
        <v>409248</v>
      </c>
      <c r="I23" s="218"/>
    </row>
    <row r="24" spans="1:10">
      <c r="A24" s="162" t="s">
        <v>19</v>
      </c>
      <c r="B24" s="163">
        <v>1</v>
      </c>
      <c r="C24" s="164">
        <v>14</v>
      </c>
      <c r="D24" s="160">
        <v>870</v>
      </c>
      <c r="E24" s="165"/>
      <c r="F24" s="165">
        <v>0.1</v>
      </c>
      <c r="G24" s="153">
        <v>12</v>
      </c>
      <c r="H24" s="161">
        <f t="shared" si="0"/>
        <v>306936</v>
      </c>
      <c r="I24" s="218"/>
    </row>
    <row r="25" spans="1:10">
      <c r="A25" s="162" t="s">
        <v>20</v>
      </c>
      <c r="B25" s="163">
        <v>2</v>
      </c>
      <c r="C25" s="164"/>
      <c r="D25" s="160">
        <f>20760+9100</f>
        <v>29860</v>
      </c>
      <c r="E25" s="165"/>
      <c r="F25" s="165"/>
      <c r="G25" s="153">
        <v>12</v>
      </c>
      <c r="H25" s="161">
        <f>D25*G25</f>
        <v>358320</v>
      </c>
      <c r="I25" s="218"/>
    </row>
    <row r="26" spans="1:10">
      <c r="A26" s="162"/>
      <c r="B26" s="163"/>
      <c r="C26" s="164"/>
      <c r="D26" s="189"/>
      <c r="E26" s="165"/>
      <c r="F26" s="165"/>
      <c r="G26" s="163"/>
      <c r="H26" s="190">
        <f>SUM(H18:H25)</f>
        <v>3286740</v>
      </c>
      <c r="I26" s="218"/>
    </row>
    <row r="27" spans="1:10">
      <c r="A27" s="191" t="s">
        <v>21</v>
      </c>
      <c r="B27" s="166"/>
      <c r="C27" s="167"/>
      <c r="D27" s="168">
        <v>0.26200000000000001</v>
      </c>
      <c r="E27" s="169"/>
      <c r="F27" s="169"/>
      <c r="G27" s="170">
        <v>12</v>
      </c>
      <c r="H27" s="192">
        <f>H26*D27</f>
        <v>861125.88</v>
      </c>
      <c r="I27" s="218"/>
      <c r="J27" s="219">
        <f>H27+H26</f>
        <v>4147865.88</v>
      </c>
    </row>
    <row r="28" spans="1:10">
      <c r="A28" s="193"/>
      <c r="B28" s="186"/>
      <c r="C28" s="183"/>
      <c r="D28" s="194"/>
      <c r="E28" s="185"/>
      <c r="F28" s="185"/>
      <c r="G28" s="186"/>
      <c r="H28" s="195"/>
      <c r="I28" s="218"/>
    </row>
    <row r="29" spans="1:10">
      <c r="A29" s="162" t="s">
        <v>22</v>
      </c>
      <c r="B29" s="163"/>
      <c r="C29" s="164"/>
      <c r="D29" s="189"/>
      <c r="E29" s="165"/>
      <c r="F29" s="165"/>
      <c r="G29" s="163"/>
      <c r="H29" s="161">
        <f>H30+H31</f>
        <v>396575.92800000001</v>
      </c>
      <c r="I29" s="218"/>
    </row>
    <row r="30" spans="1:10">
      <c r="A30" s="162" t="s">
        <v>19</v>
      </c>
      <c r="B30" s="163">
        <v>1</v>
      </c>
      <c r="C30" s="164">
        <v>14</v>
      </c>
      <c r="D30" s="189">
        <v>870</v>
      </c>
      <c r="E30" s="165"/>
      <c r="F30" s="165">
        <v>0.15</v>
      </c>
      <c r="G30" s="163">
        <f>12</f>
        <v>12</v>
      </c>
      <c r="H30" s="161">
        <f>B30*(2+E30+F30)*(C30*D30)*G30</f>
        <v>314244</v>
      </c>
      <c r="I30" s="218"/>
      <c r="J30" s="218"/>
    </row>
    <row r="31" spans="1:10">
      <c r="A31" s="191"/>
      <c r="B31" s="170"/>
      <c r="C31" s="167"/>
      <c r="D31" s="196">
        <v>0.26200000000000001</v>
      </c>
      <c r="E31" s="169"/>
      <c r="F31" s="169"/>
      <c r="G31" s="170">
        <v>12</v>
      </c>
      <c r="H31" s="192">
        <f>H30*D31</f>
        <v>82331.928</v>
      </c>
      <c r="I31" s="218"/>
      <c r="J31" s="219">
        <f>H30+H31</f>
        <v>396575.92800000001</v>
      </c>
    </row>
    <row r="32" spans="1:10">
      <c r="A32" s="197" t="s">
        <v>23</v>
      </c>
      <c r="B32" s="198"/>
      <c r="C32" s="199"/>
      <c r="D32" s="200"/>
      <c r="E32" s="201"/>
      <c r="F32" s="201"/>
      <c r="G32" s="198"/>
      <c r="H32" s="202">
        <f>H15+H26+H29</f>
        <v>4297187.9280000003</v>
      </c>
      <c r="I32" s="218"/>
      <c r="J32" s="219"/>
    </row>
    <row r="33" spans="1:10">
      <c r="A33" s="203" t="s">
        <v>24</v>
      </c>
      <c r="B33" s="204"/>
      <c r="C33" s="205"/>
      <c r="D33" s="206"/>
      <c r="E33" s="207"/>
      <c r="F33" s="207"/>
      <c r="G33" s="204"/>
      <c r="H33" s="208">
        <f>H16+H27+H31</f>
        <v>1104292.2720000001</v>
      </c>
      <c r="I33" s="218"/>
      <c r="J33" s="219">
        <f>H32+H33</f>
        <v>5401480.2000000002</v>
      </c>
    </row>
    <row r="34" spans="1:10">
      <c r="A34" s="137">
        <v>221</v>
      </c>
      <c r="C34" s="144"/>
      <c r="E34" s="174"/>
      <c r="F34" s="174"/>
      <c r="G34" s="144"/>
    </row>
    <row r="35" spans="1:10">
      <c r="A35" s="209" t="s">
        <v>25</v>
      </c>
      <c r="B35" s="210">
        <v>3000</v>
      </c>
      <c r="C35" s="153"/>
      <c r="D35" s="160"/>
      <c r="E35" s="157"/>
      <c r="F35" s="157"/>
      <c r="G35" s="153">
        <v>12</v>
      </c>
      <c r="H35" s="211">
        <f>B35*G35</f>
        <v>36000</v>
      </c>
    </row>
    <row r="36" spans="1:10">
      <c r="A36" s="209" t="s">
        <v>26</v>
      </c>
      <c r="B36" s="210">
        <v>6850</v>
      </c>
      <c r="C36" s="159"/>
      <c r="D36" s="160"/>
      <c r="E36" s="212"/>
      <c r="F36" s="212"/>
      <c r="G36" s="153">
        <v>12</v>
      </c>
      <c r="H36" s="211">
        <f>B36*G36</f>
        <v>82200</v>
      </c>
    </row>
    <row r="37" spans="1:10">
      <c r="A37" s="209" t="s">
        <v>27</v>
      </c>
      <c r="B37" s="210">
        <v>500</v>
      </c>
      <c r="C37" s="159"/>
      <c r="D37" s="160"/>
      <c r="E37" s="212"/>
      <c r="F37" s="212"/>
      <c r="G37" s="153">
        <v>12</v>
      </c>
      <c r="H37" s="211">
        <f>B37*G37</f>
        <v>6000</v>
      </c>
    </row>
    <row r="38" spans="1:10">
      <c r="A38" s="159"/>
      <c r="B38" s="210"/>
      <c r="C38" s="159"/>
      <c r="D38" s="160"/>
      <c r="E38" s="212"/>
      <c r="F38" s="212"/>
      <c r="G38" s="159"/>
      <c r="H38" s="208">
        <f>SUM(H35:H37)</f>
        <v>124200</v>
      </c>
      <c r="J38" s="218">
        <f>H39</f>
        <v>0</v>
      </c>
    </row>
    <row r="39" spans="1:10">
      <c r="A39" s="137">
        <v>222</v>
      </c>
      <c r="B39" s="213"/>
      <c r="H39" s="211"/>
    </row>
    <row r="40" spans="1:10">
      <c r="A40" s="209" t="s">
        <v>28</v>
      </c>
      <c r="B40" s="210">
        <v>6000</v>
      </c>
      <c r="C40" s="159"/>
      <c r="D40" s="160"/>
      <c r="E40" s="212"/>
      <c r="F40" s="212"/>
      <c r="G40" s="153">
        <v>12</v>
      </c>
      <c r="H40" s="211">
        <f>H41+H42</f>
        <v>72000</v>
      </c>
    </row>
    <row r="41" spans="1:10">
      <c r="A41" s="142" t="s">
        <v>29</v>
      </c>
      <c r="B41" s="213"/>
      <c r="G41" s="144">
        <v>1</v>
      </c>
      <c r="H41" s="140">
        <f>B41*G41</f>
        <v>0</v>
      </c>
    </row>
    <row r="42" spans="1:10">
      <c r="A42" s="209" t="s">
        <v>30</v>
      </c>
      <c r="B42" s="210">
        <v>6000</v>
      </c>
      <c r="C42" s="159"/>
      <c r="D42" s="160"/>
      <c r="E42" s="212"/>
      <c r="F42" s="212"/>
      <c r="G42" s="153">
        <v>12</v>
      </c>
      <c r="H42" s="211">
        <f>B42*G42</f>
        <v>72000</v>
      </c>
    </row>
    <row r="43" spans="1:10" ht="12" customHeight="1">
      <c r="A43" s="137">
        <v>223</v>
      </c>
      <c r="B43" s="213"/>
      <c r="H43" s="211"/>
    </row>
    <row r="44" spans="1:10">
      <c r="A44" s="209" t="s">
        <v>31</v>
      </c>
      <c r="B44" s="210"/>
      <c r="C44" s="159"/>
      <c r="D44" s="214">
        <v>4715</v>
      </c>
      <c r="E44" s="212"/>
      <c r="F44" s="215"/>
      <c r="G44" s="153">
        <v>12</v>
      </c>
      <c r="H44" s="140">
        <f>D44*G44</f>
        <v>56580</v>
      </c>
    </row>
    <row r="45" spans="1:10">
      <c r="A45" s="209" t="s">
        <v>32</v>
      </c>
      <c r="B45" s="210"/>
      <c r="C45" s="159"/>
      <c r="D45" s="214">
        <v>5950</v>
      </c>
      <c r="E45" s="212"/>
      <c r="F45" s="215"/>
      <c r="G45" s="153">
        <v>12</v>
      </c>
      <c r="H45" s="211">
        <f>D45*G45</f>
        <v>71400</v>
      </c>
      <c r="I45" s="218"/>
    </row>
    <row r="46" spans="1:10">
      <c r="B46" s="213"/>
      <c r="H46" s="211">
        <f>SUM(H44:H45)</f>
        <v>127980</v>
      </c>
      <c r="J46" s="218">
        <f>H47</f>
        <v>0</v>
      </c>
    </row>
    <row r="47" spans="1:10">
      <c r="A47" s="137">
        <v>225</v>
      </c>
      <c r="B47" s="213"/>
      <c r="H47" s="216"/>
    </row>
    <row r="48" spans="1:10">
      <c r="A48" s="209" t="s">
        <v>33</v>
      </c>
      <c r="B48" s="210">
        <f>40000</f>
        <v>40000</v>
      </c>
      <c r="C48" s="159"/>
      <c r="D48" s="160"/>
      <c r="E48" s="212"/>
      <c r="F48" s="212"/>
      <c r="G48" s="153">
        <v>1</v>
      </c>
      <c r="H48" s="140">
        <f>B48</f>
        <v>40000</v>
      </c>
    </row>
    <row r="49" spans="1:10">
      <c r="A49" s="209" t="s">
        <v>34</v>
      </c>
      <c r="B49" s="210">
        <f>5000*1.1</f>
        <v>5500</v>
      </c>
      <c r="C49" s="159"/>
      <c r="D49" s="160"/>
      <c r="E49" s="212"/>
      <c r="F49" s="212"/>
      <c r="G49" s="153">
        <v>12</v>
      </c>
      <c r="H49" s="211">
        <f>B49*G49</f>
        <v>66000</v>
      </c>
    </row>
    <row r="50" spans="1:10">
      <c r="A50" s="142"/>
      <c r="B50" s="213"/>
      <c r="G50" s="144"/>
      <c r="H50" s="211">
        <f>SUM(H48:H49)</f>
        <v>106000</v>
      </c>
      <c r="J50" s="218">
        <f>H51</f>
        <v>0</v>
      </c>
    </row>
    <row r="51" spans="1:10">
      <c r="A51" s="137">
        <v>226</v>
      </c>
      <c r="B51" s="213"/>
    </row>
    <row r="52" spans="1:10">
      <c r="A52" s="209" t="s">
        <v>35</v>
      </c>
      <c r="B52" s="210">
        <f>10000</f>
        <v>10000</v>
      </c>
      <c r="C52" s="159"/>
      <c r="D52" s="160"/>
      <c r="E52" s="212"/>
      <c r="F52" s="212"/>
      <c r="G52" s="153">
        <v>12</v>
      </c>
      <c r="H52" s="211">
        <f>B52*G52</f>
        <v>120000</v>
      </c>
    </row>
    <row r="53" spans="1:10">
      <c r="A53" s="209" t="s">
        <v>35</v>
      </c>
      <c r="B53" s="210">
        <v>0</v>
      </c>
      <c r="C53" s="159"/>
      <c r="D53" s="160"/>
      <c r="E53" s="212"/>
      <c r="F53" s="212"/>
      <c r="G53" s="153">
        <v>7</v>
      </c>
      <c r="H53" s="211">
        <f t="shared" ref="H53:H58" si="1">B53*G53</f>
        <v>0</v>
      </c>
    </row>
    <row r="54" spans="1:10">
      <c r="A54" s="209" t="s">
        <v>36</v>
      </c>
      <c r="B54" s="210">
        <v>2310</v>
      </c>
      <c r="C54" s="159"/>
      <c r="D54" s="160"/>
      <c r="E54" s="212"/>
      <c r="F54" s="212"/>
      <c r="G54" s="153">
        <v>12</v>
      </c>
      <c r="H54" s="211">
        <f t="shared" si="1"/>
        <v>27720</v>
      </c>
    </row>
    <row r="55" spans="1:10">
      <c r="A55" s="209" t="s">
        <v>37</v>
      </c>
      <c r="B55" s="210">
        <v>10230</v>
      </c>
      <c r="C55" s="159"/>
      <c r="D55" s="160"/>
      <c r="E55" s="212"/>
      <c r="F55" s="212"/>
      <c r="G55" s="153">
        <v>12</v>
      </c>
      <c r="H55" s="211">
        <f>B55*G55+4400+25000-100</f>
        <v>152060</v>
      </c>
    </row>
    <row r="56" spans="1:10">
      <c r="A56" s="209" t="s">
        <v>38</v>
      </c>
      <c r="B56" s="210">
        <v>5500</v>
      </c>
      <c r="C56" s="159"/>
      <c r="D56" s="160"/>
      <c r="E56" s="212"/>
      <c r="F56" s="212"/>
      <c r="G56" s="153">
        <v>12</v>
      </c>
      <c r="H56" s="211">
        <f t="shared" si="1"/>
        <v>66000</v>
      </c>
    </row>
    <row r="57" spans="1:10">
      <c r="A57" s="209" t="s">
        <v>39</v>
      </c>
      <c r="B57" s="210">
        <v>4400</v>
      </c>
      <c r="C57" s="159"/>
      <c r="D57" s="160"/>
      <c r="E57" s="212"/>
      <c r="F57" s="212"/>
      <c r="G57" s="153">
        <v>1</v>
      </c>
      <c r="H57" s="211">
        <f t="shared" si="1"/>
        <v>4400</v>
      </c>
    </row>
    <row r="58" spans="1:10">
      <c r="A58" s="159" t="s">
        <v>40</v>
      </c>
      <c r="B58" s="210">
        <f>200000</f>
        <v>200000</v>
      </c>
      <c r="C58" s="159"/>
      <c r="D58" s="160"/>
      <c r="E58" s="212"/>
      <c r="F58" s="212"/>
      <c r="G58" s="153">
        <v>1</v>
      </c>
      <c r="H58" s="211">
        <f t="shared" si="1"/>
        <v>200000</v>
      </c>
    </row>
    <row r="59" spans="1:10">
      <c r="B59" s="213"/>
      <c r="H59" s="216">
        <f>SUM(H52:H58)</f>
        <v>570180</v>
      </c>
      <c r="J59" s="218">
        <f>H60</f>
        <v>0</v>
      </c>
    </row>
    <row r="60" spans="1:10">
      <c r="A60" s="137">
        <v>290</v>
      </c>
      <c r="B60" s="213"/>
      <c r="H60" s="216"/>
    </row>
    <row r="61" spans="1:10">
      <c r="A61" s="209" t="s">
        <v>41</v>
      </c>
      <c r="B61" s="210">
        <v>20000</v>
      </c>
      <c r="C61" s="159"/>
      <c r="D61" s="160"/>
      <c r="E61" s="212"/>
      <c r="F61" s="212"/>
      <c r="G61" s="153">
        <v>1</v>
      </c>
      <c r="H61" s="140">
        <f>B61*G61</f>
        <v>20000</v>
      </c>
      <c r="J61" s="218">
        <f>H62</f>
        <v>0</v>
      </c>
    </row>
    <row r="62" spans="1:10">
      <c r="A62" s="137">
        <v>310</v>
      </c>
      <c r="B62" s="213"/>
      <c r="H62" s="211"/>
      <c r="I62" s="141">
        <v>200</v>
      </c>
      <c r="J62" s="219">
        <f>SUM(J38:J61)</f>
        <v>0</v>
      </c>
    </row>
    <row r="63" spans="1:10">
      <c r="A63" s="209" t="s">
        <v>42</v>
      </c>
      <c r="B63" s="217">
        <v>190000</v>
      </c>
      <c r="C63" s="159"/>
      <c r="D63" s="160"/>
      <c r="E63" s="212"/>
      <c r="F63" s="212"/>
      <c r="G63" s="153">
        <v>1</v>
      </c>
      <c r="H63" s="140">
        <f>B63*G63</f>
        <v>190000</v>
      </c>
      <c r="J63" s="218">
        <f>H64</f>
        <v>0</v>
      </c>
    </row>
    <row r="64" spans="1:10">
      <c r="A64" s="137">
        <v>340</v>
      </c>
      <c r="B64" s="213"/>
      <c r="H64" s="211"/>
    </row>
    <row r="65" spans="1:10">
      <c r="A65" s="209" t="s">
        <v>43</v>
      </c>
      <c r="B65" s="210">
        <v>210800</v>
      </c>
      <c r="C65" s="159"/>
      <c r="D65" s="160"/>
      <c r="E65" s="212"/>
      <c r="F65" s="212"/>
      <c r="G65" s="153">
        <v>1</v>
      </c>
      <c r="H65" s="140">
        <f>B65*G65</f>
        <v>210800</v>
      </c>
      <c r="J65" s="218">
        <f>H66</f>
        <v>0</v>
      </c>
    </row>
    <row r="66" spans="1:10">
      <c r="B66" s="220"/>
      <c r="H66" s="211"/>
      <c r="I66" s="141">
        <v>300</v>
      </c>
      <c r="J66" s="219">
        <f>SUM(J63:J65)</f>
        <v>0</v>
      </c>
    </row>
    <row r="67" spans="1:10">
      <c r="B67" s="220"/>
    </row>
    <row r="68" spans="1:10">
      <c r="B68" s="220"/>
      <c r="I68" s="141" t="s">
        <v>28</v>
      </c>
      <c r="J68" s="218">
        <f>J7+J10+J16+J31+J62+J66</f>
        <v>2546781.6239999998</v>
      </c>
    </row>
    <row r="70" spans="1:10">
      <c r="J70" s="218">
        <f>J68/1000</f>
        <v>2546.7816240000002</v>
      </c>
    </row>
    <row r="72" spans="1:10">
      <c r="J72" s="218">
        <f>6461.3-J70</f>
        <v>3914.518376</v>
      </c>
    </row>
  </sheetData>
  <mergeCells count="1">
    <mergeCell ref="F1:H1"/>
  </mergeCells>
  <pageMargins left="0.74803149606299202" right="0.74803149606299202" top="0.196850393700787" bottom="0.39370078740157499" header="0.511811023622047" footer="0.511811023622047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pane="topRight"/>
      <selection pane="bottomLeft"/>
      <selection pane="bottomRight" activeCell="J56" sqref="J56"/>
    </sheetView>
  </sheetViews>
  <sheetFormatPr defaultColWidth="9.140625" defaultRowHeight="12.75"/>
  <cols>
    <col min="1" max="1" width="9.140625" style="8" customWidth="1"/>
    <col min="2" max="2" width="38.5703125" style="8" customWidth="1"/>
    <col min="3" max="3" width="51.42578125" customWidth="1"/>
    <col min="4" max="4" width="11.7109375" style="2" hidden="1" customWidth="1"/>
    <col min="5" max="5" width="10.85546875" hidden="1" customWidth="1"/>
    <col min="6" max="6" width="13.42578125" hidden="1" customWidth="1"/>
    <col min="7" max="7" width="15.85546875" hidden="1" customWidth="1"/>
    <col min="8" max="8" width="14" hidden="1" customWidth="1"/>
    <col min="9" max="9" width="16.5703125" hidden="1" customWidth="1"/>
    <col min="10" max="10" width="15.42578125" customWidth="1"/>
    <col min="11" max="11" width="12.7109375" hidden="1" customWidth="1"/>
    <col min="12" max="12" width="12" hidden="1" customWidth="1"/>
    <col min="13" max="13" width="10.140625" hidden="1" customWidth="1"/>
    <col min="14" max="16" width="9.140625" hidden="1" customWidth="1"/>
    <col min="18" max="18" width="10.140625" customWidth="1"/>
    <col min="19" max="19" width="9.140625" style="9"/>
  </cols>
  <sheetData>
    <row r="1" spans="1:19" ht="21" customHeight="1">
      <c r="A1" s="10" t="s">
        <v>44</v>
      </c>
      <c r="B1" s="1"/>
      <c r="C1" s="407" t="s">
        <v>45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9" ht="21" customHeight="1">
      <c r="A2" s="3"/>
      <c r="B2" s="11"/>
      <c r="C2" s="11"/>
      <c r="D2" s="11"/>
      <c r="E2" s="11"/>
      <c r="F2" s="11"/>
      <c r="G2" s="11"/>
      <c r="H2" s="11"/>
      <c r="I2" s="11"/>
      <c r="J2" s="61" t="s">
        <v>46</v>
      </c>
      <c r="K2" s="11"/>
      <c r="L2" s="11"/>
      <c r="M2" s="11"/>
      <c r="N2" s="11"/>
      <c r="O2" s="11"/>
      <c r="P2" s="11"/>
    </row>
    <row r="3" spans="1:19" ht="21" customHeight="1">
      <c r="A3" s="3"/>
      <c r="B3" s="11"/>
      <c r="C3" s="11"/>
      <c r="D3" s="11"/>
      <c r="E3" s="11"/>
      <c r="F3" s="11"/>
      <c r="G3" s="11"/>
      <c r="H3" s="11"/>
      <c r="I3" s="11"/>
      <c r="J3" s="61" t="s">
        <v>47</v>
      </c>
      <c r="K3" s="11"/>
      <c r="L3" s="11"/>
      <c r="M3" s="11"/>
      <c r="N3" s="11"/>
      <c r="O3" s="11"/>
      <c r="P3" s="11"/>
    </row>
    <row r="4" spans="1:19" ht="22.5" customHeight="1">
      <c r="A4" s="3"/>
      <c r="B4" s="3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</row>
    <row r="5" spans="1:19" ht="22.5" customHeight="1">
      <c r="A5" s="409" t="s">
        <v>48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</row>
    <row r="6" spans="1:19" ht="27.6" customHeight="1">
      <c r="A6" s="409" t="s">
        <v>49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</row>
    <row r="7" spans="1:19" ht="27.6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410" t="s">
        <v>50</v>
      </c>
      <c r="P7" s="410"/>
    </row>
    <row r="8" spans="1:19" s="4" customFormat="1" ht="61.5" customHeight="1">
      <c r="A8" s="13" t="s">
        <v>51</v>
      </c>
      <c r="B8" s="13" t="s">
        <v>52</v>
      </c>
      <c r="C8" s="14" t="s">
        <v>53</v>
      </c>
      <c r="D8" s="15" t="s">
        <v>54</v>
      </c>
      <c r="E8" s="15" t="s">
        <v>55</v>
      </c>
      <c r="F8" s="15" t="s">
        <v>56</v>
      </c>
      <c r="G8" s="15" t="s">
        <v>57</v>
      </c>
      <c r="H8" s="15" t="s">
        <v>58</v>
      </c>
      <c r="I8" s="15" t="s">
        <v>59</v>
      </c>
      <c r="J8" s="15" t="s">
        <v>60</v>
      </c>
      <c r="K8" s="62" t="s">
        <v>61</v>
      </c>
      <c r="L8" s="63" t="s">
        <v>62</v>
      </c>
      <c r="M8" s="64" t="s">
        <v>63</v>
      </c>
      <c r="N8" s="64" t="s">
        <v>64</v>
      </c>
      <c r="O8" s="64" t="s">
        <v>65</v>
      </c>
      <c r="P8" s="64" t="s">
        <v>66</v>
      </c>
      <c r="S8" s="115"/>
    </row>
    <row r="9" spans="1:19" s="5" customFormat="1" ht="15.75">
      <c r="A9" s="16" t="s">
        <v>67</v>
      </c>
      <c r="B9" s="17" t="s">
        <v>68</v>
      </c>
      <c r="C9" s="18" t="s">
        <v>69</v>
      </c>
      <c r="D9" s="19" t="e">
        <f>D10+D21+D24+D31+D35</f>
        <v>#REF!</v>
      </c>
      <c r="E9" s="19" t="e">
        <f>E10+E21+E24+E31+E35</f>
        <v>#REF!</v>
      </c>
      <c r="F9" s="19" t="e">
        <f>F10+F21+F24+F31+F35</f>
        <v>#REF!</v>
      </c>
      <c r="G9" s="19">
        <f t="shared" ref="G9:P9" si="0">G10+G21+G24+G35+G43</f>
        <v>29725.4</v>
      </c>
      <c r="H9" s="19">
        <f t="shared" si="0"/>
        <v>17464.400000000001</v>
      </c>
      <c r="I9" s="19">
        <f t="shared" si="0"/>
        <v>29091.9</v>
      </c>
      <c r="J9" s="65">
        <f>J10+J21+J24+J35+J43+J39</f>
        <v>26445.599999999999</v>
      </c>
      <c r="K9" s="66">
        <f t="shared" si="0"/>
        <v>27354.59</v>
      </c>
      <c r="L9" s="67">
        <f t="shared" si="0"/>
        <v>28859.09245</v>
      </c>
      <c r="M9" s="68">
        <f t="shared" si="0"/>
        <v>8499.1666666666697</v>
      </c>
      <c r="N9" s="68">
        <f t="shared" si="0"/>
        <v>8499.1666666666697</v>
      </c>
      <c r="O9" s="68">
        <f t="shared" si="0"/>
        <v>8499.1666666666697</v>
      </c>
      <c r="P9" s="68">
        <f t="shared" si="0"/>
        <v>133.5</v>
      </c>
      <c r="S9" s="116"/>
    </row>
    <row r="10" spans="1:19" s="6" customFormat="1" ht="15.75">
      <c r="A10" s="20" t="s">
        <v>70</v>
      </c>
      <c r="B10" s="21" t="s">
        <v>71</v>
      </c>
      <c r="C10" s="22" t="s">
        <v>72</v>
      </c>
      <c r="D10" s="23">
        <f t="shared" ref="D10:P10" si="1">D11+D18</f>
        <v>9631.4</v>
      </c>
      <c r="E10" s="23">
        <f t="shared" si="1"/>
        <v>6727.71</v>
      </c>
      <c r="F10" s="23">
        <f t="shared" si="1"/>
        <v>10213.75</v>
      </c>
      <c r="G10" s="23">
        <f t="shared" si="1"/>
        <v>18820</v>
      </c>
      <c r="H10" s="23">
        <f t="shared" si="1"/>
        <v>10036.200000000001</v>
      </c>
      <c r="I10" s="23">
        <f t="shared" si="1"/>
        <v>17432.900000000001</v>
      </c>
      <c r="J10" s="69">
        <f>J11+J18+J20</f>
        <v>15644</v>
      </c>
      <c r="K10" s="70">
        <f t="shared" si="1"/>
        <v>16771.416000000001</v>
      </c>
      <c r="L10" s="71">
        <f t="shared" si="1"/>
        <v>17693.84388</v>
      </c>
      <c r="M10" s="72">
        <f t="shared" si="1"/>
        <v>5188.5</v>
      </c>
      <c r="N10" s="72">
        <f t="shared" si="1"/>
        <v>5188.5</v>
      </c>
      <c r="O10" s="72">
        <f t="shared" si="1"/>
        <v>5188.5</v>
      </c>
      <c r="P10" s="72">
        <f t="shared" si="1"/>
        <v>62.5</v>
      </c>
      <c r="S10" s="117"/>
    </row>
    <row r="11" spans="1:19" s="2" customFormat="1" ht="39.950000000000003" customHeight="1">
      <c r="A11" s="24" t="s">
        <v>73</v>
      </c>
      <c r="B11" s="25" t="s">
        <v>74</v>
      </c>
      <c r="C11" s="26" t="s">
        <v>75</v>
      </c>
      <c r="D11" s="27">
        <f>D12+D15+D13+D16</f>
        <v>9391.4</v>
      </c>
      <c r="E11" s="27">
        <f>E12+E15+E13+E16</f>
        <v>6546.21</v>
      </c>
      <c r="F11" s="27">
        <f>F12+F15+F13+F16</f>
        <v>9941.5</v>
      </c>
      <c r="G11" s="27">
        <f>G12+G15+G13+G16+G17</f>
        <v>18620</v>
      </c>
      <c r="H11" s="27">
        <f>H12+H15+H13+H16+H17</f>
        <v>9813</v>
      </c>
      <c r="I11" s="27">
        <f>I12+I15+I13+I16+I17+I18</f>
        <v>17098.099999999999</v>
      </c>
      <c r="J11" s="47">
        <f>J12+J15+J13+J16+J17</f>
        <v>15404</v>
      </c>
      <c r="K11" s="73">
        <f>K12+K15+K13+K16+K17+K18</f>
        <v>16534.423999999999</v>
      </c>
      <c r="L11" s="74">
        <f>L12+L15+L13+L16+L17+L18</f>
        <v>17443.817319999998</v>
      </c>
      <c r="M11" s="75">
        <f>M12+M15+M13+M16+M17</f>
        <v>5113.8333333333303</v>
      </c>
      <c r="N11" s="75">
        <f>N12+N15+N13+N16+N17</f>
        <v>5113.8333333333303</v>
      </c>
      <c r="O11" s="75">
        <f>O12+O15+O13+O16+O17</f>
        <v>5113.8333333333303</v>
      </c>
      <c r="P11" s="75">
        <f>P12+P15+P13+P16+P17</f>
        <v>62.5</v>
      </c>
      <c r="S11" s="118"/>
    </row>
    <row r="12" spans="1:19" s="2" customFormat="1" ht="39.950000000000003" customHeight="1">
      <c r="A12" s="24" t="s">
        <v>76</v>
      </c>
      <c r="B12" s="25" t="s">
        <v>77</v>
      </c>
      <c r="C12" s="26" t="s">
        <v>78</v>
      </c>
      <c r="D12" s="27">
        <v>6131.4</v>
      </c>
      <c r="E12" s="27">
        <v>3667.3</v>
      </c>
      <c r="F12" s="27">
        <f>E12/8*12</f>
        <v>5500.95</v>
      </c>
      <c r="G12" s="27">
        <v>17300</v>
      </c>
      <c r="H12" s="27">
        <v>8970.7999999999993</v>
      </c>
      <c r="I12" s="27">
        <v>15500</v>
      </c>
      <c r="J12" s="47">
        <v>12426</v>
      </c>
      <c r="K12" s="76">
        <f>J12*1.058</f>
        <v>13146.708000000001</v>
      </c>
      <c r="L12" s="77">
        <f>K12*1.055</f>
        <v>13869.77694</v>
      </c>
      <c r="M12" s="75">
        <f>J12/3</f>
        <v>4142</v>
      </c>
      <c r="N12" s="75">
        <f>J12/3</f>
        <v>4142</v>
      </c>
      <c r="O12" s="75">
        <f>J12/3</f>
        <v>4142</v>
      </c>
      <c r="P12" s="75">
        <v>0</v>
      </c>
      <c r="S12" s="118"/>
    </row>
    <row r="13" spans="1:19" s="2" customFormat="1" ht="60.75" hidden="1" customHeight="1">
      <c r="A13" s="24" t="s">
        <v>79</v>
      </c>
      <c r="B13" s="25" t="s">
        <v>80</v>
      </c>
      <c r="C13" s="26" t="s">
        <v>81</v>
      </c>
      <c r="D13" s="27">
        <v>2450</v>
      </c>
      <c r="E13" s="27">
        <v>2220.5</v>
      </c>
      <c r="F13" s="27">
        <f>E13/8*12</f>
        <v>3330.75</v>
      </c>
      <c r="G13" s="27"/>
      <c r="H13" s="27"/>
      <c r="I13" s="27">
        <f>H13/8*12</f>
        <v>0</v>
      </c>
      <c r="J13" s="47">
        <f t="shared" ref="J13:K47" si="2">I13*1.058</f>
        <v>0</v>
      </c>
      <c r="K13" s="76">
        <f t="shared" si="2"/>
        <v>0</v>
      </c>
      <c r="L13" s="77">
        <f t="shared" ref="L13:L47" si="3">K13*1.055</f>
        <v>0</v>
      </c>
      <c r="M13" s="27">
        <v>0</v>
      </c>
      <c r="N13" s="27">
        <v>0</v>
      </c>
      <c r="O13" s="27">
        <v>0</v>
      </c>
      <c r="P13" s="27">
        <v>0</v>
      </c>
      <c r="S13" s="118"/>
    </row>
    <row r="14" spans="1:19" s="2" customFormat="1" ht="39.950000000000003" customHeight="1">
      <c r="A14" s="24" t="s">
        <v>82</v>
      </c>
      <c r="B14" s="25" t="s">
        <v>83</v>
      </c>
      <c r="C14" s="26" t="s">
        <v>84</v>
      </c>
      <c r="D14" s="27"/>
      <c r="E14" s="27"/>
      <c r="F14" s="27"/>
      <c r="G14" s="27">
        <f>G15</f>
        <v>760</v>
      </c>
      <c r="H14" s="27">
        <f>H15</f>
        <v>824.4</v>
      </c>
      <c r="I14" s="27">
        <f>I15</f>
        <v>1236.5999999999999</v>
      </c>
      <c r="J14" s="47">
        <f>J15</f>
        <v>2728</v>
      </c>
      <c r="K14" s="76">
        <f t="shared" si="2"/>
        <v>2886.2240000000002</v>
      </c>
      <c r="L14" s="77">
        <f t="shared" si="3"/>
        <v>3044.96632</v>
      </c>
      <c r="M14" s="75">
        <f>M15</f>
        <v>909.33333333333303</v>
      </c>
      <c r="N14" s="75">
        <f>N15</f>
        <v>909.33333333333303</v>
      </c>
      <c r="O14" s="75">
        <f>O15</f>
        <v>909.33333333333303</v>
      </c>
      <c r="P14" s="75">
        <f>P15</f>
        <v>0</v>
      </c>
      <c r="S14" s="118"/>
    </row>
    <row r="15" spans="1:19" s="2" customFormat="1" ht="39.950000000000003" customHeight="1">
      <c r="A15" s="24" t="s">
        <v>85</v>
      </c>
      <c r="B15" s="25" t="s">
        <v>86</v>
      </c>
      <c r="C15" s="26" t="s">
        <v>84</v>
      </c>
      <c r="D15" s="27">
        <v>800</v>
      </c>
      <c r="E15" s="27">
        <v>733.2</v>
      </c>
      <c r="F15" s="27">
        <f>E15/8*12</f>
        <v>1099.8</v>
      </c>
      <c r="G15" s="27">
        <v>760</v>
      </c>
      <c r="H15" s="27">
        <v>824.4</v>
      </c>
      <c r="I15" s="27">
        <f t="shared" ref="I15:I20" si="4">H15/8*12</f>
        <v>1236.5999999999999</v>
      </c>
      <c r="J15" s="47">
        <v>2728</v>
      </c>
      <c r="K15" s="76">
        <f t="shared" si="2"/>
        <v>2886.2240000000002</v>
      </c>
      <c r="L15" s="77">
        <f t="shared" si="3"/>
        <v>3044.96632</v>
      </c>
      <c r="M15" s="75">
        <f>J15/3</f>
        <v>909.33333333333303</v>
      </c>
      <c r="N15" s="75">
        <f>J15/3</f>
        <v>909.33333333333303</v>
      </c>
      <c r="O15" s="75">
        <f>J15/3</f>
        <v>909.33333333333303</v>
      </c>
      <c r="P15" s="75">
        <v>0</v>
      </c>
      <c r="S15" s="118"/>
    </row>
    <row r="16" spans="1:19" s="2" customFormat="1" ht="39.950000000000003" hidden="1" customHeight="1">
      <c r="A16" s="24" t="s">
        <v>85</v>
      </c>
      <c r="B16" s="25" t="s">
        <v>87</v>
      </c>
      <c r="C16" s="26" t="s">
        <v>88</v>
      </c>
      <c r="D16" s="27">
        <v>10</v>
      </c>
      <c r="E16" s="27">
        <v>-74.790000000000006</v>
      </c>
      <c r="F16" s="27">
        <v>10</v>
      </c>
      <c r="G16" s="28"/>
      <c r="H16" s="28"/>
      <c r="I16" s="27">
        <f t="shared" si="4"/>
        <v>0</v>
      </c>
      <c r="J16" s="47">
        <f t="shared" si="2"/>
        <v>0</v>
      </c>
      <c r="K16" s="76">
        <f t="shared" si="2"/>
        <v>0</v>
      </c>
      <c r="L16" s="77">
        <f t="shared" si="3"/>
        <v>0</v>
      </c>
      <c r="M16" s="27">
        <v>0</v>
      </c>
      <c r="N16" s="27">
        <v>0</v>
      </c>
      <c r="O16" s="27">
        <v>0</v>
      </c>
      <c r="P16" s="27">
        <v>0</v>
      </c>
      <c r="S16" s="118"/>
    </row>
    <row r="17" spans="1:19" s="2" customFormat="1" ht="39.950000000000003" customHeight="1">
      <c r="A17" s="24" t="s">
        <v>89</v>
      </c>
      <c r="B17" s="25" t="s">
        <v>90</v>
      </c>
      <c r="C17" s="26" t="s">
        <v>91</v>
      </c>
      <c r="D17" s="27"/>
      <c r="E17" s="27"/>
      <c r="F17" s="27"/>
      <c r="G17" s="27">
        <v>560</v>
      </c>
      <c r="H17" s="27">
        <v>17.8</v>
      </c>
      <c r="I17" s="27">
        <f t="shared" si="4"/>
        <v>26.7</v>
      </c>
      <c r="J17" s="47">
        <v>250</v>
      </c>
      <c r="K17" s="76">
        <f t="shared" si="2"/>
        <v>264.5</v>
      </c>
      <c r="L17" s="77">
        <f t="shared" si="3"/>
        <v>279.04750000000001</v>
      </c>
      <c r="M17" s="75">
        <f>J17/4</f>
        <v>62.5</v>
      </c>
      <c r="N17" s="75">
        <f>J17/4</f>
        <v>62.5</v>
      </c>
      <c r="O17" s="75">
        <f>J17/4</f>
        <v>62.5</v>
      </c>
      <c r="P17" s="75">
        <f>J17/4</f>
        <v>62.5</v>
      </c>
      <c r="S17" s="118"/>
    </row>
    <row r="18" spans="1:19" s="2" customFormat="1" ht="39.950000000000003" customHeight="1">
      <c r="A18" s="24" t="s">
        <v>92</v>
      </c>
      <c r="B18" s="25" t="s">
        <v>93</v>
      </c>
      <c r="C18" s="26" t="s">
        <v>94</v>
      </c>
      <c r="D18" s="27">
        <f>D19+D20</f>
        <v>240</v>
      </c>
      <c r="E18" s="27">
        <f>E19+E20</f>
        <v>181.5</v>
      </c>
      <c r="F18" s="27">
        <f>E18/8*12</f>
        <v>272.25</v>
      </c>
      <c r="G18" s="27">
        <f>G19+G20</f>
        <v>200</v>
      </c>
      <c r="H18" s="27">
        <f>H19+H20</f>
        <v>223.2</v>
      </c>
      <c r="I18" s="27">
        <f t="shared" si="4"/>
        <v>334.8</v>
      </c>
      <c r="J18" s="47">
        <f>J19</f>
        <v>224</v>
      </c>
      <c r="K18" s="76">
        <f t="shared" si="2"/>
        <v>236.99199999999999</v>
      </c>
      <c r="L18" s="77">
        <f t="shared" si="3"/>
        <v>250.02655999999999</v>
      </c>
      <c r="M18" s="75">
        <f>M19</f>
        <v>74.6666666666667</v>
      </c>
      <c r="N18" s="75">
        <f>N19</f>
        <v>74.6666666666667</v>
      </c>
      <c r="O18" s="75">
        <f>O19</f>
        <v>74.6666666666667</v>
      </c>
      <c r="P18" s="75">
        <f>P19</f>
        <v>0</v>
      </c>
      <c r="S18" s="118"/>
    </row>
    <row r="19" spans="1:19" s="2" customFormat="1" ht="39.950000000000003" customHeight="1">
      <c r="A19" s="24" t="s">
        <v>95</v>
      </c>
      <c r="B19" s="25" t="s">
        <v>96</v>
      </c>
      <c r="C19" s="26" t="s">
        <v>94</v>
      </c>
      <c r="D19" s="27">
        <v>120</v>
      </c>
      <c r="E19" s="27">
        <v>130.5</v>
      </c>
      <c r="F19" s="27">
        <f>E19/8*12</f>
        <v>195.75</v>
      </c>
      <c r="G19" s="27">
        <v>200</v>
      </c>
      <c r="H19" s="27">
        <v>223.2</v>
      </c>
      <c r="I19" s="27">
        <f t="shared" si="4"/>
        <v>334.8</v>
      </c>
      <c r="J19" s="47">
        <v>224</v>
      </c>
      <c r="K19" s="76">
        <f t="shared" si="2"/>
        <v>236.99199999999999</v>
      </c>
      <c r="L19" s="77">
        <f t="shared" si="3"/>
        <v>250.02655999999999</v>
      </c>
      <c r="M19" s="75">
        <f>J19/3</f>
        <v>74.6666666666667</v>
      </c>
      <c r="N19" s="75">
        <f>J19/3</f>
        <v>74.6666666666667</v>
      </c>
      <c r="O19" s="75">
        <f>J19/3</f>
        <v>74.6666666666667</v>
      </c>
      <c r="P19" s="75">
        <v>0</v>
      </c>
      <c r="S19" s="118"/>
    </row>
    <row r="20" spans="1:19" s="6" customFormat="1" ht="45" customHeight="1">
      <c r="A20" s="24" t="s">
        <v>97</v>
      </c>
      <c r="B20" s="25" t="s">
        <v>98</v>
      </c>
      <c r="C20" s="26" t="s">
        <v>99</v>
      </c>
      <c r="D20" s="27">
        <v>120</v>
      </c>
      <c r="E20" s="27">
        <v>51</v>
      </c>
      <c r="F20" s="27">
        <f>E20/8*12</f>
        <v>76.5</v>
      </c>
      <c r="G20" s="28"/>
      <c r="H20" s="27"/>
      <c r="I20" s="27">
        <f t="shared" si="4"/>
        <v>0</v>
      </c>
      <c r="J20" s="47">
        <v>16</v>
      </c>
      <c r="K20" s="76">
        <f t="shared" si="2"/>
        <v>16.928000000000001</v>
      </c>
      <c r="L20" s="77">
        <f t="shared" si="3"/>
        <v>17.85904</v>
      </c>
      <c r="M20" s="78"/>
      <c r="N20" s="78"/>
      <c r="O20" s="78"/>
      <c r="P20" s="78"/>
      <c r="S20" s="117"/>
    </row>
    <row r="21" spans="1:19" s="2" customFormat="1" ht="15.75">
      <c r="A21" s="20" t="s">
        <v>100</v>
      </c>
      <c r="B21" s="21" t="s">
        <v>101</v>
      </c>
      <c r="C21" s="22" t="s">
        <v>102</v>
      </c>
      <c r="D21" s="23">
        <f>D22</f>
        <v>300</v>
      </c>
      <c r="E21" s="23">
        <f t="shared" ref="E21:P22" si="5">E22</f>
        <v>175</v>
      </c>
      <c r="F21" s="23">
        <f t="shared" si="5"/>
        <v>262.5</v>
      </c>
      <c r="G21" s="23">
        <f t="shared" si="5"/>
        <v>1600</v>
      </c>
      <c r="H21" s="23">
        <f t="shared" si="5"/>
        <v>950.7</v>
      </c>
      <c r="I21" s="23">
        <f t="shared" si="5"/>
        <v>1600</v>
      </c>
      <c r="J21" s="69">
        <f t="shared" si="5"/>
        <v>2985</v>
      </c>
      <c r="K21" s="79">
        <f t="shared" si="5"/>
        <v>3158.13</v>
      </c>
      <c r="L21" s="80">
        <f t="shared" si="5"/>
        <v>3331.8271500000001</v>
      </c>
      <c r="M21" s="72">
        <f t="shared" si="5"/>
        <v>995</v>
      </c>
      <c r="N21" s="72">
        <f t="shared" si="5"/>
        <v>995</v>
      </c>
      <c r="O21" s="72">
        <f t="shared" si="5"/>
        <v>995</v>
      </c>
      <c r="P21" s="72">
        <f t="shared" si="5"/>
        <v>0</v>
      </c>
      <c r="S21" s="118"/>
    </row>
    <row r="22" spans="1:19" ht="39.950000000000003" customHeight="1">
      <c r="A22" s="24" t="s">
        <v>103</v>
      </c>
      <c r="B22" s="25" t="s">
        <v>104</v>
      </c>
      <c r="C22" s="29" t="s">
        <v>105</v>
      </c>
      <c r="D22" s="27">
        <f>D23</f>
        <v>300</v>
      </c>
      <c r="E22" s="27">
        <v>175</v>
      </c>
      <c r="F22" s="27">
        <f t="shared" si="5"/>
        <v>262.5</v>
      </c>
      <c r="G22" s="27">
        <f t="shared" si="5"/>
        <v>1600</v>
      </c>
      <c r="H22" s="27">
        <f t="shared" si="5"/>
        <v>950.7</v>
      </c>
      <c r="I22" s="27">
        <f>I23</f>
        <v>1600</v>
      </c>
      <c r="J22" s="47">
        <f>J23</f>
        <v>2985</v>
      </c>
      <c r="K22" s="76">
        <f t="shared" si="2"/>
        <v>3158.13</v>
      </c>
      <c r="L22" s="77">
        <f t="shared" si="3"/>
        <v>3331.8271500000001</v>
      </c>
      <c r="M22" s="75">
        <f t="shared" si="5"/>
        <v>995</v>
      </c>
      <c r="N22" s="75">
        <f t="shared" si="5"/>
        <v>995</v>
      </c>
      <c r="O22" s="75">
        <f t="shared" si="5"/>
        <v>995</v>
      </c>
      <c r="P22" s="75">
        <f t="shared" si="5"/>
        <v>0</v>
      </c>
    </row>
    <row r="23" spans="1:19" s="2" customFormat="1" ht="63.75">
      <c r="A23" s="24" t="s">
        <v>106</v>
      </c>
      <c r="B23" s="25" t="s">
        <v>107</v>
      </c>
      <c r="C23" s="26" t="s">
        <v>108</v>
      </c>
      <c r="D23" s="27">
        <v>300</v>
      </c>
      <c r="E23" s="27">
        <v>175</v>
      </c>
      <c r="F23" s="27">
        <f>E23/8*12</f>
        <v>262.5</v>
      </c>
      <c r="G23" s="27">
        <v>1600</v>
      </c>
      <c r="H23" s="27">
        <v>950.7</v>
      </c>
      <c r="I23" s="27">
        <v>1600</v>
      </c>
      <c r="J23" s="47">
        <f>1985+1000</f>
        <v>2985</v>
      </c>
      <c r="K23" s="76">
        <f t="shared" si="2"/>
        <v>3158.13</v>
      </c>
      <c r="L23" s="77">
        <f t="shared" si="3"/>
        <v>3331.8271500000001</v>
      </c>
      <c r="M23" s="75">
        <f>J23/3</f>
        <v>995</v>
      </c>
      <c r="N23" s="75">
        <f>J23/3</f>
        <v>995</v>
      </c>
      <c r="O23" s="75">
        <f>J23/3</f>
        <v>995</v>
      </c>
      <c r="P23" s="75">
        <v>0</v>
      </c>
      <c r="S23" s="118"/>
    </row>
    <row r="24" spans="1:19" s="2" customFormat="1" ht="38.25">
      <c r="A24" s="20">
        <v>3</v>
      </c>
      <c r="B24" s="21" t="s">
        <v>109</v>
      </c>
      <c r="C24" s="22" t="s">
        <v>110</v>
      </c>
      <c r="D24" s="23" t="e">
        <f>#REF!+#REF!+D25+#REF!+#REF!</f>
        <v>#REF!</v>
      </c>
      <c r="E24" s="23" t="e">
        <f>#REF!+#REF!+E25+#REF!+#REF!</f>
        <v>#REF!</v>
      </c>
      <c r="F24" s="23" t="e">
        <f>#REF!+#REF!+F25+#REF!+#REF!</f>
        <v>#REF!</v>
      </c>
      <c r="G24" s="23">
        <f t="shared" ref="G24:P24" si="6">G29+G33</f>
        <v>9275.4</v>
      </c>
      <c r="H24" s="23">
        <f t="shared" si="6"/>
        <v>6457.7</v>
      </c>
      <c r="I24" s="23">
        <f t="shared" si="6"/>
        <v>10024</v>
      </c>
      <c r="J24" s="69">
        <f t="shared" si="6"/>
        <v>6746</v>
      </c>
      <c r="K24" s="79">
        <f t="shared" si="6"/>
        <v>7137.268</v>
      </c>
      <c r="L24" s="80">
        <f t="shared" si="6"/>
        <v>7529.8177400000004</v>
      </c>
      <c r="M24" s="81">
        <f t="shared" si="6"/>
        <v>2247.6666666666702</v>
      </c>
      <c r="N24" s="81">
        <f t="shared" si="6"/>
        <v>2247.6666666666702</v>
      </c>
      <c r="O24" s="81">
        <f t="shared" si="6"/>
        <v>2247.6666666666702</v>
      </c>
      <c r="P24" s="81">
        <f t="shared" si="6"/>
        <v>3</v>
      </c>
      <c r="S24" s="118"/>
    </row>
    <row r="25" spans="1:19" s="2" customFormat="1" ht="30" hidden="1" customHeight="1">
      <c r="A25" s="30"/>
      <c r="B25" s="31" t="s">
        <v>111</v>
      </c>
      <c r="C25" s="32" t="s">
        <v>112</v>
      </c>
      <c r="D25" s="27">
        <f>D30</f>
        <v>5500</v>
      </c>
      <c r="E25" s="27">
        <f>E30</f>
        <v>3350.4</v>
      </c>
      <c r="F25" s="27">
        <f>F30</f>
        <v>5025.6000000000004</v>
      </c>
      <c r="G25" s="28"/>
      <c r="H25" s="27">
        <f>H26</f>
        <v>0</v>
      </c>
      <c r="I25" s="27">
        <f>H25/8*12</f>
        <v>0</v>
      </c>
      <c r="J25" s="47">
        <f t="shared" si="2"/>
        <v>0</v>
      </c>
      <c r="K25" s="76">
        <f t="shared" si="2"/>
        <v>0</v>
      </c>
      <c r="L25" s="77">
        <f t="shared" si="3"/>
        <v>0</v>
      </c>
      <c r="M25" s="75">
        <f t="shared" ref="M25:P28" si="7">L25*1.058</f>
        <v>0</v>
      </c>
      <c r="N25" s="75">
        <f t="shared" si="7"/>
        <v>0</v>
      </c>
      <c r="O25" s="75">
        <f t="shared" si="7"/>
        <v>0</v>
      </c>
      <c r="P25" s="75">
        <f t="shared" si="7"/>
        <v>0</v>
      </c>
      <c r="S25" s="118"/>
    </row>
    <row r="26" spans="1:19" s="2" customFormat="1" ht="57.75" hidden="1" customHeight="1">
      <c r="A26" s="30"/>
      <c r="B26" s="31" t="s">
        <v>113</v>
      </c>
      <c r="C26" s="32" t="s">
        <v>114</v>
      </c>
      <c r="D26" s="27">
        <f>D30</f>
        <v>5500</v>
      </c>
      <c r="E26" s="27">
        <f>E30</f>
        <v>3350.4</v>
      </c>
      <c r="F26" s="27">
        <f>F30</f>
        <v>5025.6000000000004</v>
      </c>
      <c r="G26" s="28"/>
      <c r="H26" s="27">
        <f>H27</f>
        <v>0</v>
      </c>
      <c r="I26" s="27">
        <f>H26/8*12</f>
        <v>0</v>
      </c>
      <c r="J26" s="47">
        <f t="shared" si="2"/>
        <v>0</v>
      </c>
      <c r="K26" s="76">
        <f t="shared" si="2"/>
        <v>0</v>
      </c>
      <c r="L26" s="77">
        <f t="shared" si="3"/>
        <v>0</v>
      </c>
      <c r="M26" s="75">
        <f t="shared" si="7"/>
        <v>0</v>
      </c>
      <c r="N26" s="75">
        <f t="shared" si="7"/>
        <v>0</v>
      </c>
      <c r="O26" s="75">
        <f t="shared" si="7"/>
        <v>0</v>
      </c>
      <c r="P26" s="75">
        <f t="shared" si="7"/>
        <v>0</v>
      </c>
      <c r="S26" s="118"/>
    </row>
    <row r="27" spans="1:19" s="2" customFormat="1" ht="36" hidden="1" customHeight="1">
      <c r="A27" s="30"/>
      <c r="B27" s="31" t="s">
        <v>115</v>
      </c>
      <c r="C27" s="32" t="s">
        <v>116</v>
      </c>
      <c r="D27" s="27">
        <f>D30</f>
        <v>5500</v>
      </c>
      <c r="E27" s="27">
        <v>3350.4</v>
      </c>
      <c r="F27" s="27">
        <f>F30</f>
        <v>5025.6000000000004</v>
      </c>
      <c r="G27" s="28"/>
      <c r="H27" s="27">
        <f>H28</f>
        <v>0</v>
      </c>
      <c r="I27" s="27">
        <f>H27/8*12</f>
        <v>0</v>
      </c>
      <c r="J27" s="47">
        <f t="shared" si="2"/>
        <v>0</v>
      </c>
      <c r="K27" s="76">
        <f t="shared" si="2"/>
        <v>0</v>
      </c>
      <c r="L27" s="77">
        <f t="shared" si="3"/>
        <v>0</v>
      </c>
      <c r="M27" s="75">
        <f t="shared" si="7"/>
        <v>0</v>
      </c>
      <c r="N27" s="75">
        <f t="shared" si="7"/>
        <v>0</v>
      </c>
      <c r="O27" s="75">
        <f t="shared" si="7"/>
        <v>0</v>
      </c>
      <c r="P27" s="75">
        <f t="shared" si="7"/>
        <v>0</v>
      </c>
      <c r="S27" s="118"/>
    </row>
    <row r="28" spans="1:19" s="2" customFormat="1" ht="51" hidden="1">
      <c r="A28" s="30"/>
      <c r="B28" s="31" t="s">
        <v>117</v>
      </c>
      <c r="C28" s="32" t="s">
        <v>118</v>
      </c>
      <c r="D28" s="27">
        <v>5500</v>
      </c>
      <c r="E28" s="27">
        <v>3350.4</v>
      </c>
      <c r="F28" s="27">
        <f>E28/8*12</f>
        <v>5025.6000000000004</v>
      </c>
      <c r="G28" s="28"/>
      <c r="H28" s="27">
        <f>G28*1.05</f>
        <v>0</v>
      </c>
      <c r="I28" s="27">
        <f>H28/8*12</f>
        <v>0</v>
      </c>
      <c r="J28" s="47">
        <f t="shared" si="2"/>
        <v>0</v>
      </c>
      <c r="K28" s="76">
        <f t="shared" si="2"/>
        <v>0</v>
      </c>
      <c r="L28" s="77">
        <f t="shared" si="3"/>
        <v>0</v>
      </c>
      <c r="M28" s="75">
        <f t="shared" si="7"/>
        <v>0</v>
      </c>
      <c r="N28" s="75">
        <f t="shared" si="7"/>
        <v>0</v>
      </c>
      <c r="O28" s="75">
        <f t="shared" si="7"/>
        <v>0</v>
      </c>
      <c r="P28" s="75">
        <f t="shared" si="7"/>
        <v>0</v>
      </c>
      <c r="S28" s="118"/>
    </row>
    <row r="29" spans="1:19" s="2" customFormat="1" ht="65.099999999999994" customHeight="1">
      <c r="A29" s="24" t="s">
        <v>119</v>
      </c>
      <c r="B29" s="33" t="s">
        <v>120</v>
      </c>
      <c r="C29" s="26" t="s">
        <v>121</v>
      </c>
      <c r="D29" s="23"/>
      <c r="E29" s="23"/>
      <c r="F29" s="23"/>
      <c r="G29" s="27">
        <f t="shared" ref="G29:I31" si="8">G30</f>
        <v>9251.4</v>
      </c>
      <c r="H29" s="27">
        <f t="shared" si="8"/>
        <v>6445.7</v>
      </c>
      <c r="I29" s="27">
        <f t="shared" si="8"/>
        <v>10000</v>
      </c>
      <c r="J29" s="47">
        <f>J30</f>
        <v>6734</v>
      </c>
      <c r="K29" s="76">
        <f t="shared" si="2"/>
        <v>7124.5720000000001</v>
      </c>
      <c r="L29" s="77">
        <f t="shared" si="3"/>
        <v>7516.42346</v>
      </c>
      <c r="M29" s="75">
        <f t="shared" ref="M29:P31" si="9">M30</f>
        <v>2244.6666666666702</v>
      </c>
      <c r="N29" s="75">
        <f t="shared" si="9"/>
        <v>2244.6666666666702</v>
      </c>
      <c r="O29" s="75">
        <f t="shared" si="9"/>
        <v>2244.6666666666702</v>
      </c>
      <c r="P29" s="75">
        <f t="shared" si="9"/>
        <v>0</v>
      </c>
      <c r="S29" s="118"/>
    </row>
    <row r="30" spans="1:19" s="2" customFormat="1" ht="65.099999999999994" customHeight="1">
      <c r="A30" s="24" t="s">
        <v>122</v>
      </c>
      <c r="B30" s="33" t="s">
        <v>123</v>
      </c>
      <c r="C30" s="26" t="s">
        <v>124</v>
      </c>
      <c r="D30" s="27">
        <v>5500</v>
      </c>
      <c r="E30" s="27">
        <v>3350.4</v>
      </c>
      <c r="F30" s="27">
        <f>E30/8*12</f>
        <v>5025.6000000000004</v>
      </c>
      <c r="G30" s="27">
        <f t="shared" si="8"/>
        <v>9251.4</v>
      </c>
      <c r="H30" s="27">
        <f t="shared" si="8"/>
        <v>6445.7</v>
      </c>
      <c r="I30" s="27">
        <f>I31</f>
        <v>10000</v>
      </c>
      <c r="J30" s="47">
        <f>J31</f>
        <v>6734</v>
      </c>
      <c r="K30" s="76">
        <f t="shared" si="2"/>
        <v>7124.5720000000001</v>
      </c>
      <c r="L30" s="77">
        <f t="shared" si="3"/>
        <v>7516.42346</v>
      </c>
      <c r="M30" s="75">
        <f t="shared" si="9"/>
        <v>2244.6666666666702</v>
      </c>
      <c r="N30" s="75">
        <f t="shared" si="9"/>
        <v>2244.6666666666702</v>
      </c>
      <c r="O30" s="75">
        <f t="shared" si="9"/>
        <v>2244.6666666666702</v>
      </c>
      <c r="P30" s="75">
        <f t="shared" si="9"/>
        <v>0</v>
      </c>
      <c r="S30" s="118"/>
    </row>
    <row r="31" spans="1:19" s="2" customFormat="1" ht="84" customHeight="1">
      <c r="A31" s="24" t="s">
        <v>125</v>
      </c>
      <c r="B31" s="33" t="s">
        <v>126</v>
      </c>
      <c r="C31" s="26" t="s">
        <v>127</v>
      </c>
      <c r="D31" s="34">
        <f>D32</f>
        <v>3450</v>
      </c>
      <c r="E31" s="34">
        <f>E32</f>
        <v>1791.7</v>
      </c>
      <c r="F31" s="34">
        <f>F32</f>
        <v>2090</v>
      </c>
      <c r="G31" s="27">
        <f>G32</f>
        <v>9251.4</v>
      </c>
      <c r="H31" s="27">
        <f t="shared" si="8"/>
        <v>6445.7</v>
      </c>
      <c r="I31" s="27">
        <f>I32</f>
        <v>10000</v>
      </c>
      <c r="J31" s="47">
        <f>J32</f>
        <v>6734</v>
      </c>
      <c r="K31" s="76">
        <f t="shared" si="2"/>
        <v>7124.5720000000001</v>
      </c>
      <c r="L31" s="77">
        <f t="shared" si="3"/>
        <v>7516.42346</v>
      </c>
      <c r="M31" s="75">
        <f t="shared" si="9"/>
        <v>2244.6666666666702</v>
      </c>
      <c r="N31" s="75">
        <f t="shared" si="9"/>
        <v>2244.6666666666702</v>
      </c>
      <c r="O31" s="75">
        <f t="shared" si="9"/>
        <v>2244.6666666666702</v>
      </c>
      <c r="P31" s="75">
        <f t="shared" si="9"/>
        <v>0</v>
      </c>
      <c r="S31" s="118"/>
    </row>
    <row r="32" spans="1:19" s="2" customFormat="1" ht="65.099999999999994" customHeight="1">
      <c r="A32" s="24" t="s">
        <v>128</v>
      </c>
      <c r="B32" s="33" t="s">
        <v>129</v>
      </c>
      <c r="C32" s="26" t="s">
        <v>130</v>
      </c>
      <c r="D32" s="35">
        <f>D33</f>
        <v>3450</v>
      </c>
      <c r="E32" s="35">
        <f>E33</f>
        <v>1791.7</v>
      </c>
      <c r="F32" s="35">
        <f>F33</f>
        <v>2090</v>
      </c>
      <c r="G32" s="27">
        <f>9214.3+37.1</f>
        <v>9251.4</v>
      </c>
      <c r="H32" s="35">
        <v>6445.7</v>
      </c>
      <c r="I32" s="27">
        <v>10000</v>
      </c>
      <c r="J32" s="47">
        <v>6734</v>
      </c>
      <c r="K32" s="76">
        <f t="shared" si="2"/>
        <v>7124.5720000000001</v>
      </c>
      <c r="L32" s="77">
        <f t="shared" si="3"/>
        <v>7516.42346</v>
      </c>
      <c r="M32" s="75">
        <f>J32/3</f>
        <v>2244.6666666666702</v>
      </c>
      <c r="N32" s="75">
        <f>J32/3</f>
        <v>2244.6666666666702</v>
      </c>
      <c r="O32" s="75">
        <f>J32/3</f>
        <v>2244.6666666666702</v>
      </c>
      <c r="P32" s="75">
        <v>0</v>
      </c>
      <c r="S32" s="118"/>
    </row>
    <row r="33" spans="1:19" s="2" customFormat="1" ht="31.5" customHeight="1">
      <c r="A33" s="24" t="s">
        <v>131</v>
      </c>
      <c r="B33" s="33" t="s">
        <v>132</v>
      </c>
      <c r="C33" s="26" t="s">
        <v>133</v>
      </c>
      <c r="D33" s="27">
        <f>D34</f>
        <v>3450</v>
      </c>
      <c r="E33" s="27">
        <f>E34</f>
        <v>1791.7</v>
      </c>
      <c r="F33" s="27">
        <v>2090</v>
      </c>
      <c r="G33" s="27">
        <f t="shared" ref="G33:P33" si="10">G34</f>
        <v>24</v>
      </c>
      <c r="H33" s="27">
        <f t="shared" si="10"/>
        <v>12</v>
      </c>
      <c r="I33" s="27">
        <f t="shared" si="10"/>
        <v>24</v>
      </c>
      <c r="J33" s="47">
        <f t="shared" si="10"/>
        <v>12</v>
      </c>
      <c r="K33" s="82">
        <f t="shared" si="10"/>
        <v>12.696</v>
      </c>
      <c r="L33" s="83">
        <f t="shared" si="10"/>
        <v>13.39428</v>
      </c>
      <c r="M33" s="75">
        <f t="shared" si="10"/>
        <v>3</v>
      </c>
      <c r="N33" s="75">
        <f t="shared" si="10"/>
        <v>3</v>
      </c>
      <c r="O33" s="75">
        <f t="shared" si="10"/>
        <v>3</v>
      </c>
      <c r="P33" s="75">
        <f t="shared" si="10"/>
        <v>3</v>
      </c>
      <c r="S33" s="118"/>
    </row>
    <row r="34" spans="1:19" s="2" customFormat="1" ht="77.25" customHeight="1">
      <c r="A34" s="24" t="s">
        <v>134</v>
      </c>
      <c r="B34" s="33" t="s">
        <v>135</v>
      </c>
      <c r="C34" s="26" t="s">
        <v>136</v>
      </c>
      <c r="D34" s="35">
        <v>3450</v>
      </c>
      <c r="E34" s="35">
        <v>1791.7</v>
      </c>
      <c r="F34" s="35">
        <v>2090</v>
      </c>
      <c r="G34" s="27">
        <v>24</v>
      </c>
      <c r="H34" s="35">
        <v>12</v>
      </c>
      <c r="I34" s="27">
        <v>24</v>
      </c>
      <c r="J34" s="47">
        <v>12</v>
      </c>
      <c r="K34" s="76">
        <f t="shared" si="2"/>
        <v>12.696</v>
      </c>
      <c r="L34" s="77">
        <f t="shared" si="3"/>
        <v>13.39428</v>
      </c>
      <c r="M34" s="75">
        <f>J34/4</f>
        <v>3</v>
      </c>
      <c r="N34" s="75">
        <f>J34/4</f>
        <v>3</v>
      </c>
      <c r="O34" s="75">
        <f>J34/4</f>
        <v>3</v>
      </c>
      <c r="P34" s="75">
        <f>J34/4</f>
        <v>3</v>
      </c>
      <c r="S34" s="118"/>
    </row>
    <row r="35" spans="1:19" s="2" customFormat="1" ht="25.5" hidden="1">
      <c r="A35" s="36">
        <v>4</v>
      </c>
      <c r="B35" s="37" t="s">
        <v>137</v>
      </c>
      <c r="C35" s="38" t="s">
        <v>138</v>
      </c>
      <c r="D35" s="34">
        <f>D36</f>
        <v>140</v>
      </c>
      <c r="E35" s="34">
        <f t="shared" ref="E35:H37" si="11">E36</f>
        <v>88</v>
      </c>
      <c r="F35" s="34">
        <f t="shared" si="11"/>
        <v>132</v>
      </c>
      <c r="G35" s="34">
        <f t="shared" si="11"/>
        <v>0</v>
      </c>
      <c r="H35" s="34">
        <f t="shared" si="11"/>
        <v>0</v>
      </c>
      <c r="I35" s="27">
        <f>H35/8*12</f>
        <v>0</v>
      </c>
      <c r="J35" s="47">
        <f t="shared" si="2"/>
        <v>0</v>
      </c>
      <c r="K35" s="76">
        <f t="shared" si="2"/>
        <v>0</v>
      </c>
      <c r="L35" s="77">
        <f t="shared" si="3"/>
        <v>0</v>
      </c>
      <c r="M35" s="75"/>
      <c r="N35" s="75"/>
      <c r="O35" s="75"/>
      <c r="P35" s="75"/>
      <c r="S35" s="118"/>
    </row>
    <row r="36" spans="1:19" s="2" customFormat="1" ht="31.5" hidden="1" customHeight="1">
      <c r="A36" s="39" t="s">
        <v>139</v>
      </c>
      <c r="B36" s="40" t="s">
        <v>140</v>
      </c>
      <c r="C36" s="41" t="s">
        <v>141</v>
      </c>
      <c r="D36" s="27">
        <f>D37</f>
        <v>140</v>
      </c>
      <c r="E36" s="27">
        <f t="shared" si="11"/>
        <v>88</v>
      </c>
      <c r="F36" s="27">
        <f t="shared" si="11"/>
        <v>132</v>
      </c>
      <c r="G36" s="35">
        <f t="shared" si="11"/>
        <v>0</v>
      </c>
      <c r="H36" s="27"/>
      <c r="I36" s="27">
        <f>H36/8*12</f>
        <v>0</v>
      </c>
      <c r="J36" s="47">
        <f t="shared" si="2"/>
        <v>0</v>
      </c>
      <c r="K36" s="76">
        <f t="shared" si="2"/>
        <v>0</v>
      </c>
      <c r="L36" s="77">
        <f t="shared" si="3"/>
        <v>0</v>
      </c>
      <c r="M36" s="75"/>
      <c r="N36" s="75"/>
      <c r="O36" s="75"/>
      <c r="P36" s="75"/>
      <c r="S36" s="118"/>
    </row>
    <row r="37" spans="1:19" s="7" customFormat="1" ht="44.25" hidden="1" customHeight="1">
      <c r="A37" s="39" t="s">
        <v>142</v>
      </c>
      <c r="B37" s="40" t="s">
        <v>143</v>
      </c>
      <c r="C37" s="41" t="s">
        <v>144</v>
      </c>
      <c r="D37" s="27">
        <f>D38+D43</f>
        <v>140</v>
      </c>
      <c r="E37" s="27">
        <v>88</v>
      </c>
      <c r="F37" s="27">
        <f>E37/8*12</f>
        <v>132</v>
      </c>
      <c r="G37" s="35">
        <f t="shared" si="11"/>
        <v>0</v>
      </c>
      <c r="H37" s="27"/>
      <c r="I37" s="27">
        <f>H37/8*12</f>
        <v>0</v>
      </c>
      <c r="J37" s="47">
        <f t="shared" si="2"/>
        <v>0</v>
      </c>
      <c r="K37" s="76">
        <f t="shared" si="2"/>
        <v>0</v>
      </c>
      <c r="L37" s="77">
        <f t="shared" si="3"/>
        <v>0</v>
      </c>
      <c r="M37" s="75"/>
      <c r="N37" s="75"/>
      <c r="O37" s="75"/>
      <c r="P37" s="75"/>
      <c r="S37" s="119"/>
    </row>
    <row r="38" spans="1:19" s="7" customFormat="1" ht="76.5" hidden="1" customHeight="1">
      <c r="A38" s="39" t="s">
        <v>145</v>
      </c>
      <c r="B38" s="40" t="s">
        <v>146</v>
      </c>
      <c r="C38" s="41" t="s">
        <v>147</v>
      </c>
      <c r="D38" s="27">
        <v>125</v>
      </c>
      <c r="E38" s="27">
        <v>88</v>
      </c>
      <c r="F38" s="27">
        <f>E38/8*12</f>
        <v>132</v>
      </c>
      <c r="G38" s="35">
        <v>0</v>
      </c>
      <c r="H38" s="27"/>
      <c r="I38" s="27">
        <f>H38/8*12</f>
        <v>0</v>
      </c>
      <c r="J38" s="47">
        <f t="shared" si="2"/>
        <v>0</v>
      </c>
      <c r="K38" s="76">
        <f t="shared" si="2"/>
        <v>0</v>
      </c>
      <c r="L38" s="77">
        <f t="shared" si="3"/>
        <v>0</v>
      </c>
      <c r="M38" s="75"/>
      <c r="N38" s="75"/>
      <c r="O38" s="75"/>
      <c r="P38" s="75"/>
      <c r="S38" s="119"/>
    </row>
    <row r="39" spans="1:19" s="7" customFormat="1" ht="43.5" customHeight="1">
      <c r="A39" s="42" t="s">
        <v>148</v>
      </c>
      <c r="B39" s="37" t="s">
        <v>137</v>
      </c>
      <c r="C39" s="43" t="s">
        <v>149</v>
      </c>
      <c r="D39" s="27">
        <v>15</v>
      </c>
      <c r="E39" s="27">
        <v>0</v>
      </c>
      <c r="F39" s="27">
        <v>15</v>
      </c>
      <c r="G39" s="44">
        <f t="shared" ref="G39:L41" si="12">G40</f>
        <v>0</v>
      </c>
      <c r="H39" s="44">
        <f t="shared" si="12"/>
        <v>0</v>
      </c>
      <c r="I39" s="44">
        <f t="shared" si="12"/>
        <v>1402.9</v>
      </c>
      <c r="J39" s="44">
        <f>J40+J44</f>
        <v>798.6</v>
      </c>
      <c r="K39" s="44">
        <f t="shared" si="12"/>
        <v>557.14279999999997</v>
      </c>
      <c r="L39" s="44">
        <f t="shared" si="12"/>
        <v>587.78565400000002</v>
      </c>
      <c r="M39" s="84"/>
      <c r="N39" s="84"/>
      <c r="O39" s="84"/>
      <c r="P39" s="84"/>
      <c r="S39" s="119"/>
    </row>
    <row r="40" spans="1:19" s="7" customFormat="1" ht="31.5" customHeight="1">
      <c r="A40" s="45" t="s">
        <v>139</v>
      </c>
      <c r="B40" s="33" t="s">
        <v>150</v>
      </c>
      <c r="C40" s="46" t="s">
        <v>151</v>
      </c>
      <c r="D40" s="27" t="e">
        <f>D41+#REF!</f>
        <v>#REF!</v>
      </c>
      <c r="E40" s="27" t="e">
        <f>E41+#REF!</f>
        <v>#REF!</v>
      </c>
      <c r="F40" s="27" t="e">
        <f>F41+#REF!</f>
        <v>#REF!</v>
      </c>
      <c r="G40" s="47">
        <f t="shared" si="12"/>
        <v>0</v>
      </c>
      <c r="H40" s="47">
        <f t="shared" si="12"/>
        <v>0</v>
      </c>
      <c r="I40" s="47">
        <f t="shared" si="12"/>
        <v>1402.9</v>
      </c>
      <c r="J40" s="47">
        <f t="shared" si="12"/>
        <v>526.6</v>
      </c>
      <c r="K40" s="69">
        <f t="shared" si="12"/>
        <v>557.14279999999997</v>
      </c>
      <c r="L40" s="69">
        <f t="shared" si="12"/>
        <v>587.78565400000002</v>
      </c>
      <c r="M40" s="84"/>
      <c r="N40" s="84"/>
      <c r="O40" s="84"/>
      <c r="P40" s="84"/>
      <c r="R40" s="120">
        <f>(J9+J50)*0.233</f>
        <v>21211.807400000002</v>
      </c>
      <c r="S40" s="119"/>
    </row>
    <row r="41" spans="1:19" s="7" customFormat="1" ht="45" customHeight="1">
      <c r="A41" s="45" t="s">
        <v>142</v>
      </c>
      <c r="B41" s="33" t="s">
        <v>152</v>
      </c>
      <c r="C41" s="48" t="s">
        <v>153</v>
      </c>
      <c r="D41" s="34">
        <f>D42+D51+D48</f>
        <v>11683.4</v>
      </c>
      <c r="E41" s="34">
        <f>E42+E51+E48</f>
        <v>8755.2000000000007</v>
      </c>
      <c r="F41" s="34">
        <f>F42+F51+F48</f>
        <v>11683.4</v>
      </c>
      <c r="G41" s="47">
        <f>G42</f>
        <v>0</v>
      </c>
      <c r="H41" s="47">
        <f>H42</f>
        <v>0</v>
      </c>
      <c r="I41" s="47">
        <f t="shared" si="12"/>
        <v>1402.9</v>
      </c>
      <c r="J41" s="47">
        <f t="shared" si="12"/>
        <v>526.6</v>
      </c>
      <c r="K41" s="47">
        <f t="shared" si="12"/>
        <v>557.14279999999997</v>
      </c>
      <c r="L41" s="47">
        <f t="shared" si="12"/>
        <v>587.78565400000002</v>
      </c>
      <c r="M41" s="84"/>
      <c r="N41" s="84"/>
      <c r="O41" s="84"/>
      <c r="P41" s="84"/>
      <c r="S41" s="119"/>
    </row>
    <row r="42" spans="1:19" s="6" customFormat="1" ht="73.5" customHeight="1">
      <c r="A42" s="45" t="s">
        <v>145</v>
      </c>
      <c r="B42" s="33" t="s">
        <v>154</v>
      </c>
      <c r="C42" s="48" t="s">
        <v>147</v>
      </c>
      <c r="D42" s="49">
        <f>D47</f>
        <v>5841.7</v>
      </c>
      <c r="E42" s="49">
        <f>E47</f>
        <v>4377.6000000000004</v>
      </c>
      <c r="F42" s="49">
        <f>F47</f>
        <v>5841.7</v>
      </c>
      <c r="G42" s="47">
        <v>0</v>
      </c>
      <c r="H42" s="47">
        <v>0</v>
      </c>
      <c r="I42" s="47">
        <v>1402.9</v>
      </c>
      <c r="J42" s="47">
        <v>526.6</v>
      </c>
      <c r="K42" s="47">
        <f>J42*1.058</f>
        <v>557.14279999999997</v>
      </c>
      <c r="L42" s="47">
        <f>K42*1.055</f>
        <v>587.78565400000002</v>
      </c>
      <c r="M42" s="85"/>
      <c r="N42" s="85"/>
      <c r="O42" s="85"/>
      <c r="P42" s="85"/>
      <c r="S42" s="117"/>
    </row>
    <row r="43" spans="1:19" s="7" customFormat="1" ht="24.75" hidden="1" customHeight="1">
      <c r="A43" s="20" t="s">
        <v>148</v>
      </c>
      <c r="B43" s="21" t="s">
        <v>155</v>
      </c>
      <c r="C43" s="22" t="s">
        <v>156</v>
      </c>
      <c r="D43" s="50">
        <v>15</v>
      </c>
      <c r="E43" s="50">
        <v>0</v>
      </c>
      <c r="F43" s="50">
        <v>15</v>
      </c>
      <c r="G43" s="23">
        <f t="shared" ref="G43:P44" si="13">G44</f>
        <v>30</v>
      </c>
      <c r="H43" s="23">
        <f t="shared" si="13"/>
        <v>19.8</v>
      </c>
      <c r="I43" s="23">
        <f t="shared" si="13"/>
        <v>35</v>
      </c>
      <c r="J43" s="69">
        <f t="shared" si="13"/>
        <v>272</v>
      </c>
      <c r="K43" s="86">
        <f t="shared" si="13"/>
        <v>287.77600000000001</v>
      </c>
      <c r="L43" s="87">
        <f t="shared" si="13"/>
        <v>303.60368</v>
      </c>
      <c r="M43" s="72">
        <f t="shared" si="13"/>
        <v>68</v>
      </c>
      <c r="N43" s="72">
        <f t="shared" si="13"/>
        <v>68</v>
      </c>
      <c r="O43" s="72">
        <f t="shared" si="13"/>
        <v>68</v>
      </c>
      <c r="P43" s="72">
        <f t="shared" si="13"/>
        <v>68</v>
      </c>
      <c r="S43" s="119"/>
    </row>
    <row r="44" spans="1:19" s="7" customFormat="1" ht="30" customHeight="1">
      <c r="A44" s="24" t="s">
        <v>157</v>
      </c>
      <c r="B44" s="33" t="s">
        <v>158</v>
      </c>
      <c r="C44" s="51" t="s">
        <v>159</v>
      </c>
      <c r="D44" s="19" t="e">
        <f>D45+#REF!</f>
        <v>#REF!</v>
      </c>
      <c r="E44" s="19" t="e">
        <f>E45+#REF!</f>
        <v>#REF!</v>
      </c>
      <c r="F44" s="19" t="e">
        <f>F45+#REF!</f>
        <v>#REF!</v>
      </c>
      <c r="G44" s="27">
        <f t="shared" si="13"/>
        <v>30</v>
      </c>
      <c r="H44" s="27">
        <f t="shared" si="13"/>
        <v>19.8</v>
      </c>
      <c r="I44" s="27">
        <f t="shared" si="13"/>
        <v>35</v>
      </c>
      <c r="J44" s="47">
        <f t="shared" si="13"/>
        <v>272</v>
      </c>
      <c r="K44" s="88">
        <f t="shared" si="13"/>
        <v>287.77600000000001</v>
      </c>
      <c r="L44" s="74">
        <f t="shared" si="13"/>
        <v>303.60368</v>
      </c>
      <c r="M44" s="75">
        <f t="shared" si="13"/>
        <v>68</v>
      </c>
      <c r="N44" s="75">
        <f t="shared" si="13"/>
        <v>68</v>
      </c>
      <c r="O44" s="75">
        <f t="shared" si="13"/>
        <v>68</v>
      </c>
      <c r="P44" s="75">
        <f t="shared" si="13"/>
        <v>68</v>
      </c>
      <c r="S44" s="119"/>
    </row>
    <row r="45" spans="1:19" s="7" customFormat="1" ht="57" customHeight="1">
      <c r="A45" s="24" t="s">
        <v>160</v>
      </c>
      <c r="B45" s="33" t="s">
        <v>161</v>
      </c>
      <c r="C45" s="51" t="s">
        <v>162</v>
      </c>
      <c r="D45" s="34">
        <f>D46+D52+D49</f>
        <v>6635.2</v>
      </c>
      <c r="E45" s="34">
        <f>E46+E52+E49</f>
        <v>4901.8</v>
      </c>
      <c r="F45" s="34">
        <f>F46+F52+F49</f>
        <v>6635.2</v>
      </c>
      <c r="G45" s="27">
        <f t="shared" ref="G45:P45" si="14">G46+G47</f>
        <v>30</v>
      </c>
      <c r="H45" s="27">
        <f t="shared" si="14"/>
        <v>19.8</v>
      </c>
      <c r="I45" s="27">
        <f t="shared" si="14"/>
        <v>35</v>
      </c>
      <c r="J45" s="47">
        <f t="shared" si="14"/>
        <v>272</v>
      </c>
      <c r="K45" s="89">
        <f t="shared" si="14"/>
        <v>287.77600000000001</v>
      </c>
      <c r="L45" s="90">
        <f t="shared" si="14"/>
        <v>303.60368</v>
      </c>
      <c r="M45" s="75">
        <f t="shared" si="14"/>
        <v>68</v>
      </c>
      <c r="N45" s="75">
        <f t="shared" si="14"/>
        <v>68</v>
      </c>
      <c r="O45" s="75">
        <f t="shared" si="14"/>
        <v>68</v>
      </c>
      <c r="P45" s="75">
        <f t="shared" si="14"/>
        <v>68</v>
      </c>
      <c r="Q45" s="121"/>
      <c r="S45" s="119"/>
    </row>
    <row r="46" spans="1:19" s="6" customFormat="1" ht="53.25" customHeight="1">
      <c r="A46" s="24" t="s">
        <v>163</v>
      </c>
      <c r="B46" s="25" t="s">
        <v>164</v>
      </c>
      <c r="C46" s="51" t="s">
        <v>165</v>
      </c>
      <c r="D46" s="49">
        <f>D48</f>
        <v>5841.7</v>
      </c>
      <c r="E46" s="49">
        <f>E48</f>
        <v>4377.6000000000004</v>
      </c>
      <c r="F46" s="49">
        <f>F48</f>
        <v>5841.7</v>
      </c>
      <c r="G46" s="27">
        <v>20</v>
      </c>
      <c r="H46" s="27">
        <v>19.8</v>
      </c>
      <c r="I46" s="27">
        <v>30</v>
      </c>
      <c r="J46" s="47">
        <f>10+262</f>
        <v>272</v>
      </c>
      <c r="K46" s="76">
        <f t="shared" si="2"/>
        <v>287.77600000000001</v>
      </c>
      <c r="L46" s="77">
        <f t="shared" si="3"/>
        <v>303.60368</v>
      </c>
      <c r="M46" s="75">
        <f>J46/4</f>
        <v>68</v>
      </c>
      <c r="N46" s="75">
        <f>J46/4</f>
        <v>68</v>
      </c>
      <c r="O46" s="75">
        <f>J46/4</f>
        <v>68</v>
      </c>
      <c r="P46" s="75">
        <f>J46/4</f>
        <v>68</v>
      </c>
      <c r="S46" s="117"/>
    </row>
    <row r="47" spans="1:19" s="2" customFormat="1" ht="61.5" hidden="1" customHeight="1">
      <c r="A47" s="24" t="s">
        <v>166</v>
      </c>
      <c r="B47" s="25" t="s">
        <v>167</v>
      </c>
      <c r="C47" s="26" t="s">
        <v>168</v>
      </c>
      <c r="D47" s="49">
        <f>D48</f>
        <v>5841.7</v>
      </c>
      <c r="E47" s="49">
        <f>E48</f>
        <v>4377.6000000000004</v>
      </c>
      <c r="F47" s="49">
        <f>F48</f>
        <v>5841.7</v>
      </c>
      <c r="G47" s="27">
        <v>10</v>
      </c>
      <c r="H47" s="27">
        <v>0</v>
      </c>
      <c r="I47" s="27">
        <v>5</v>
      </c>
      <c r="J47" s="47">
        <v>0</v>
      </c>
      <c r="K47" s="76">
        <f t="shared" si="2"/>
        <v>0</v>
      </c>
      <c r="L47" s="77">
        <f t="shared" si="3"/>
        <v>0</v>
      </c>
      <c r="M47" s="27">
        <v>0</v>
      </c>
      <c r="N47" s="27">
        <v>0</v>
      </c>
      <c r="O47" s="27">
        <v>0</v>
      </c>
      <c r="P47" s="27">
        <v>0</v>
      </c>
      <c r="S47" s="118"/>
    </row>
    <row r="48" spans="1:19" s="2" customFormat="1" ht="50.25" customHeight="1">
      <c r="A48" s="16" t="s">
        <v>169</v>
      </c>
      <c r="B48" s="17" t="s">
        <v>170</v>
      </c>
      <c r="C48" s="18" t="s">
        <v>171</v>
      </c>
      <c r="D48" s="52">
        <v>5841.7</v>
      </c>
      <c r="E48" s="52">
        <v>4377.6000000000004</v>
      </c>
      <c r="F48" s="52">
        <v>5841.7</v>
      </c>
      <c r="G48" s="19">
        <f t="shared" ref="G48:P48" si="15">G49</f>
        <v>22002.799999999999</v>
      </c>
      <c r="H48" s="19">
        <f t="shared" si="15"/>
        <v>6463.3</v>
      </c>
      <c r="I48" s="19">
        <f t="shared" si="15"/>
        <v>19569.8</v>
      </c>
      <c r="J48" s="65">
        <f t="shared" si="15"/>
        <v>66122.899999999994</v>
      </c>
      <c r="K48" s="91">
        <f t="shared" si="15"/>
        <v>60474.2</v>
      </c>
      <c r="L48" s="92">
        <f t="shared" si="15"/>
        <v>60616</v>
      </c>
      <c r="M48" s="68">
        <f t="shared" si="15"/>
        <v>16530.724999999999</v>
      </c>
      <c r="N48" s="68">
        <f t="shared" si="15"/>
        <v>16530.724999999999</v>
      </c>
      <c r="O48" s="68">
        <f t="shared" si="15"/>
        <v>16530.724999999999</v>
      </c>
      <c r="P48" s="68">
        <f t="shared" si="15"/>
        <v>16530.724999999999</v>
      </c>
      <c r="S48" s="118"/>
    </row>
    <row r="49" spans="1:19" s="2" customFormat="1" ht="42.75" customHeight="1">
      <c r="A49" s="20">
        <v>5</v>
      </c>
      <c r="B49" s="21" t="s">
        <v>172</v>
      </c>
      <c r="C49" s="22" t="s">
        <v>173</v>
      </c>
      <c r="D49" s="23">
        <v>0</v>
      </c>
      <c r="E49" s="23">
        <v>0</v>
      </c>
      <c r="F49" s="23">
        <v>0</v>
      </c>
      <c r="G49" s="23">
        <f t="shared" ref="G49:P49" si="16">G50+G56+G53</f>
        <v>22002.799999999999</v>
      </c>
      <c r="H49" s="23">
        <f t="shared" si="16"/>
        <v>6463.3</v>
      </c>
      <c r="I49" s="23">
        <f t="shared" si="16"/>
        <v>19569.8</v>
      </c>
      <c r="J49" s="69">
        <f t="shared" si="16"/>
        <v>66122.899999999994</v>
      </c>
      <c r="K49" s="93">
        <f t="shared" si="16"/>
        <v>60474.2</v>
      </c>
      <c r="L49" s="94">
        <f t="shared" si="16"/>
        <v>60616</v>
      </c>
      <c r="M49" s="72">
        <f t="shared" si="16"/>
        <v>16530.724999999999</v>
      </c>
      <c r="N49" s="72">
        <f t="shared" si="16"/>
        <v>16530.724999999999</v>
      </c>
      <c r="O49" s="72">
        <f t="shared" si="16"/>
        <v>16530.724999999999</v>
      </c>
      <c r="P49" s="72">
        <f t="shared" si="16"/>
        <v>16530.724999999999</v>
      </c>
      <c r="S49" s="118"/>
    </row>
    <row r="50" spans="1:19" s="7" customFormat="1" ht="36.75" customHeight="1">
      <c r="A50" s="24" t="s">
        <v>174</v>
      </c>
      <c r="B50" s="25" t="s">
        <v>175</v>
      </c>
      <c r="C50" s="26" t="s">
        <v>176</v>
      </c>
      <c r="D50" s="27">
        <f>D51</f>
        <v>0</v>
      </c>
      <c r="E50" s="27">
        <f>E51</f>
        <v>0</v>
      </c>
      <c r="F50" s="27">
        <f>F51</f>
        <v>0</v>
      </c>
      <c r="G50" s="27">
        <f t="shared" ref="G50:P50" si="17">G52</f>
        <v>8472</v>
      </c>
      <c r="H50" s="27">
        <f t="shared" si="17"/>
        <v>5648</v>
      </c>
      <c r="I50" s="27">
        <f>H50/8*12</f>
        <v>8472</v>
      </c>
      <c r="J50" s="47">
        <f t="shared" si="17"/>
        <v>64592.2</v>
      </c>
      <c r="K50" s="95">
        <f t="shared" si="17"/>
        <v>58000</v>
      </c>
      <c r="L50" s="96">
        <f t="shared" si="17"/>
        <v>58000</v>
      </c>
      <c r="M50" s="75">
        <f t="shared" si="17"/>
        <v>16148.05</v>
      </c>
      <c r="N50" s="75">
        <f t="shared" si="17"/>
        <v>16148.05</v>
      </c>
      <c r="O50" s="75">
        <f t="shared" si="17"/>
        <v>16148.05</v>
      </c>
      <c r="P50" s="75">
        <f t="shared" si="17"/>
        <v>16148.05</v>
      </c>
      <c r="S50" s="119"/>
    </row>
    <row r="51" spans="1:19" s="7" customFormat="1" ht="63" customHeight="1">
      <c r="A51" s="24" t="s">
        <v>177</v>
      </c>
      <c r="B51" s="25" t="s">
        <v>178</v>
      </c>
      <c r="C51" s="26" t="s">
        <v>179</v>
      </c>
      <c r="D51" s="27">
        <v>0</v>
      </c>
      <c r="E51" s="27">
        <v>0</v>
      </c>
      <c r="F51" s="27">
        <v>0</v>
      </c>
      <c r="G51" s="27">
        <f t="shared" ref="G51:P51" si="18">G52</f>
        <v>8472</v>
      </c>
      <c r="H51" s="27">
        <f t="shared" si="18"/>
        <v>5648</v>
      </c>
      <c r="I51" s="27">
        <f>H51/8*12</f>
        <v>8472</v>
      </c>
      <c r="J51" s="47">
        <f t="shared" si="18"/>
        <v>64592.2</v>
      </c>
      <c r="K51" s="97">
        <f t="shared" si="18"/>
        <v>58000</v>
      </c>
      <c r="L51" s="98">
        <f t="shared" si="18"/>
        <v>58000</v>
      </c>
      <c r="M51" s="75">
        <f t="shared" si="18"/>
        <v>16148.05</v>
      </c>
      <c r="N51" s="75">
        <f t="shared" si="18"/>
        <v>16148.05</v>
      </c>
      <c r="O51" s="75">
        <f t="shared" si="18"/>
        <v>16148.05</v>
      </c>
      <c r="P51" s="75">
        <f t="shared" si="18"/>
        <v>16148.05</v>
      </c>
      <c r="S51" s="119"/>
    </row>
    <row r="52" spans="1:19" s="7" customFormat="1" ht="57" customHeight="1">
      <c r="A52" s="24" t="s">
        <v>180</v>
      </c>
      <c r="B52" s="25" t="s">
        <v>181</v>
      </c>
      <c r="C52" s="26" t="s">
        <v>182</v>
      </c>
      <c r="D52" s="53">
        <f>D53+D57</f>
        <v>793.5</v>
      </c>
      <c r="E52" s="53">
        <f>E53+E57</f>
        <v>524.20000000000005</v>
      </c>
      <c r="F52" s="53">
        <f>F53+F57</f>
        <v>793.5</v>
      </c>
      <c r="G52" s="27">
        <v>8472</v>
      </c>
      <c r="H52" s="27">
        <v>5648</v>
      </c>
      <c r="I52" s="27">
        <f>H52/8*12</f>
        <v>8472</v>
      </c>
      <c r="J52" s="47">
        <v>64592.2</v>
      </c>
      <c r="K52" s="99">
        <v>58000</v>
      </c>
      <c r="L52" s="100">
        <v>58000</v>
      </c>
      <c r="M52" s="75">
        <f>J52/4</f>
        <v>16148.05</v>
      </c>
      <c r="N52" s="75">
        <f>J52/4</f>
        <v>16148.05</v>
      </c>
      <c r="O52" s="75">
        <f>J52/4</f>
        <v>16148.05</v>
      </c>
      <c r="P52" s="75">
        <f>J52/4</f>
        <v>16148.05</v>
      </c>
      <c r="S52" s="119"/>
    </row>
    <row r="53" spans="1:19" s="7" customFormat="1" ht="53.25" hidden="1" customHeight="1">
      <c r="A53" s="20">
        <v>6</v>
      </c>
      <c r="B53" s="21" t="s">
        <v>183</v>
      </c>
      <c r="C53" s="22" t="s">
        <v>184</v>
      </c>
      <c r="D53" s="50">
        <f>D54</f>
        <v>565.4</v>
      </c>
      <c r="E53" s="50">
        <f t="shared" ref="E53:L54" si="19">E54</f>
        <v>410.1</v>
      </c>
      <c r="F53" s="50">
        <f t="shared" si="19"/>
        <v>565.4</v>
      </c>
      <c r="G53" s="23">
        <f t="shared" si="19"/>
        <v>11982.7</v>
      </c>
      <c r="H53" s="23">
        <f t="shared" si="19"/>
        <v>0</v>
      </c>
      <c r="I53" s="23">
        <f t="shared" si="19"/>
        <v>9982.7000000000007</v>
      </c>
      <c r="J53" s="69">
        <f t="shared" si="19"/>
        <v>0</v>
      </c>
      <c r="K53" s="86">
        <f t="shared" si="19"/>
        <v>0</v>
      </c>
      <c r="L53" s="87">
        <f t="shared" si="19"/>
        <v>0</v>
      </c>
      <c r="M53" s="72">
        <v>0</v>
      </c>
      <c r="N53" s="72">
        <v>0</v>
      </c>
      <c r="O53" s="72">
        <v>0</v>
      </c>
      <c r="P53" s="72">
        <v>0</v>
      </c>
      <c r="S53" s="119"/>
    </row>
    <row r="54" spans="1:19" s="2" customFormat="1" hidden="1">
      <c r="A54" s="54" t="s">
        <v>185</v>
      </c>
      <c r="B54" s="55" t="s">
        <v>186</v>
      </c>
      <c r="C54" s="56" t="s">
        <v>187</v>
      </c>
      <c r="D54" s="35">
        <f>D55+D56</f>
        <v>565.4</v>
      </c>
      <c r="E54" s="35">
        <f>E55+E56</f>
        <v>410.1</v>
      </c>
      <c r="F54" s="35">
        <f>F55+F56</f>
        <v>565.4</v>
      </c>
      <c r="G54" s="35">
        <f t="shared" si="19"/>
        <v>11982.7</v>
      </c>
      <c r="H54" s="35">
        <f t="shared" si="19"/>
        <v>0</v>
      </c>
      <c r="I54" s="35">
        <f t="shared" si="19"/>
        <v>9982.7000000000007</v>
      </c>
      <c r="J54" s="101">
        <f t="shared" si="19"/>
        <v>0</v>
      </c>
      <c r="K54" s="102">
        <f t="shared" si="19"/>
        <v>0</v>
      </c>
      <c r="L54" s="103">
        <f t="shared" si="19"/>
        <v>0</v>
      </c>
      <c r="M54" s="75">
        <v>0</v>
      </c>
      <c r="N54" s="75">
        <v>0</v>
      </c>
      <c r="O54" s="75">
        <v>0</v>
      </c>
      <c r="P54" s="75">
        <v>0</v>
      </c>
      <c r="S54" s="118"/>
    </row>
    <row r="55" spans="1:19" ht="53.25" hidden="1" customHeight="1">
      <c r="A55" s="24" t="s">
        <v>188</v>
      </c>
      <c r="B55" s="25" t="s">
        <v>189</v>
      </c>
      <c r="C55" s="26" t="s">
        <v>190</v>
      </c>
      <c r="D55" s="27">
        <v>552.70000000000005</v>
      </c>
      <c r="E55" s="27">
        <v>410.1</v>
      </c>
      <c r="F55" s="27">
        <v>552.70000000000005</v>
      </c>
      <c r="G55" s="35">
        <v>11982.7</v>
      </c>
      <c r="H55" s="35">
        <v>0</v>
      </c>
      <c r="I55" s="27">
        <v>9982.7000000000007</v>
      </c>
      <c r="J55" s="101">
        <v>0</v>
      </c>
      <c r="K55" s="104"/>
      <c r="L55" s="105"/>
      <c r="M55" s="75">
        <v>0</v>
      </c>
      <c r="N55" s="75">
        <v>0</v>
      </c>
      <c r="O55" s="75">
        <v>0</v>
      </c>
      <c r="P55" s="75">
        <v>0</v>
      </c>
    </row>
    <row r="56" spans="1:19" ht="42" customHeight="1">
      <c r="A56" s="20">
        <v>7</v>
      </c>
      <c r="B56" s="21" t="s">
        <v>191</v>
      </c>
      <c r="C56" s="22" t="s">
        <v>192</v>
      </c>
      <c r="D56" s="50">
        <v>12.7</v>
      </c>
      <c r="E56" s="50">
        <v>0</v>
      </c>
      <c r="F56" s="50">
        <v>12.7</v>
      </c>
      <c r="G56" s="23">
        <f t="shared" ref="G56:P56" si="20">G57+G61</f>
        <v>1548.1</v>
      </c>
      <c r="H56" s="23">
        <f t="shared" si="20"/>
        <v>815.3</v>
      </c>
      <c r="I56" s="23">
        <f t="shared" si="20"/>
        <v>1115.0999999999999</v>
      </c>
      <c r="J56" s="69">
        <f t="shared" si="20"/>
        <v>1530.7</v>
      </c>
      <c r="K56" s="86">
        <f t="shared" si="20"/>
        <v>2474.1999999999998</v>
      </c>
      <c r="L56" s="87">
        <f t="shared" si="20"/>
        <v>2616</v>
      </c>
      <c r="M56" s="72">
        <f t="shared" si="20"/>
        <v>382.67500000000001</v>
      </c>
      <c r="N56" s="72">
        <f t="shared" si="20"/>
        <v>382.67500000000001</v>
      </c>
      <c r="O56" s="72">
        <f t="shared" si="20"/>
        <v>382.67500000000001</v>
      </c>
      <c r="P56" s="72">
        <f t="shared" si="20"/>
        <v>382.67500000000001</v>
      </c>
    </row>
    <row r="57" spans="1:19" ht="43.5" customHeight="1">
      <c r="A57" s="39" t="s">
        <v>193</v>
      </c>
      <c r="B57" s="40" t="s">
        <v>194</v>
      </c>
      <c r="C57" s="41" t="s">
        <v>195</v>
      </c>
      <c r="D57" s="49">
        <f>D59</f>
        <v>228.1</v>
      </c>
      <c r="E57" s="49">
        <f>E59</f>
        <v>114.1</v>
      </c>
      <c r="F57" s="49">
        <f>F59</f>
        <v>228.1</v>
      </c>
      <c r="G57" s="35">
        <f t="shared" ref="G57:P57" si="21">G58</f>
        <v>662.2</v>
      </c>
      <c r="H57" s="35">
        <f t="shared" si="21"/>
        <v>485.4</v>
      </c>
      <c r="I57" s="27">
        <f>H57/8*12</f>
        <v>728.1</v>
      </c>
      <c r="J57" s="101">
        <f t="shared" si="21"/>
        <v>804.2</v>
      </c>
      <c r="K57" s="102">
        <f t="shared" si="21"/>
        <v>740.1</v>
      </c>
      <c r="L57" s="103">
        <f t="shared" si="21"/>
        <v>780.8</v>
      </c>
      <c r="M57" s="75">
        <f t="shared" si="21"/>
        <v>201.05</v>
      </c>
      <c r="N57" s="75">
        <f t="shared" si="21"/>
        <v>201.05</v>
      </c>
      <c r="O57" s="75">
        <f t="shared" si="21"/>
        <v>201.05</v>
      </c>
      <c r="P57" s="75">
        <f t="shared" si="21"/>
        <v>201.05</v>
      </c>
    </row>
    <row r="58" spans="1:19" ht="65.099999999999994" customHeight="1">
      <c r="A58" s="39" t="s">
        <v>196</v>
      </c>
      <c r="B58" s="40" t="s">
        <v>197</v>
      </c>
      <c r="C58" s="41" t="s">
        <v>198</v>
      </c>
      <c r="D58" s="27">
        <v>228.1</v>
      </c>
      <c r="E58" s="27">
        <v>114.1</v>
      </c>
      <c r="F58" s="27">
        <v>228.1</v>
      </c>
      <c r="G58" s="35">
        <f t="shared" ref="G58:L58" si="22">G59+G60</f>
        <v>662.2</v>
      </c>
      <c r="H58" s="35">
        <f t="shared" si="22"/>
        <v>485.4</v>
      </c>
      <c r="I58" s="35">
        <f t="shared" si="22"/>
        <v>662.2</v>
      </c>
      <c r="J58" s="101">
        <f>J59</f>
        <v>804.2</v>
      </c>
      <c r="K58" s="106">
        <f t="shared" si="22"/>
        <v>740.1</v>
      </c>
      <c r="L58" s="107">
        <f t="shared" si="22"/>
        <v>780.8</v>
      </c>
      <c r="M58" s="75">
        <f>J58/4</f>
        <v>201.05</v>
      </c>
      <c r="N58" s="75">
        <f>J58/4</f>
        <v>201.05</v>
      </c>
      <c r="O58" s="75">
        <f>J58/4</f>
        <v>201.05</v>
      </c>
      <c r="P58" s="75">
        <f>J58/4</f>
        <v>201.05</v>
      </c>
    </row>
    <row r="59" spans="1:19" ht="68.25" customHeight="1">
      <c r="A59" s="24" t="s">
        <v>199</v>
      </c>
      <c r="B59" s="25" t="s">
        <v>200</v>
      </c>
      <c r="C59" s="57" t="s">
        <v>201</v>
      </c>
      <c r="D59" s="27">
        <v>228.1</v>
      </c>
      <c r="E59" s="27">
        <v>114.1</v>
      </c>
      <c r="F59" s="27">
        <v>228.1</v>
      </c>
      <c r="G59" s="35">
        <v>657.2</v>
      </c>
      <c r="H59" s="27">
        <v>485.4</v>
      </c>
      <c r="I59" s="27">
        <v>657.2</v>
      </c>
      <c r="J59" s="47">
        <v>804.2</v>
      </c>
      <c r="K59" s="89">
        <v>740.1</v>
      </c>
      <c r="L59" s="90">
        <v>780.8</v>
      </c>
      <c r="M59" s="75">
        <f>J59/4</f>
        <v>201.05</v>
      </c>
      <c r="N59" s="75">
        <f>J59/4</f>
        <v>201.05</v>
      </c>
      <c r="O59" s="75">
        <f>J59/4</f>
        <v>201.05</v>
      </c>
      <c r="P59" s="75">
        <f>J59/4</f>
        <v>201.05</v>
      </c>
    </row>
    <row r="60" spans="1:19" ht="93" customHeight="1">
      <c r="A60" s="24" t="s">
        <v>202</v>
      </c>
      <c r="B60" s="25" t="s">
        <v>203</v>
      </c>
      <c r="C60" s="57" t="s">
        <v>204</v>
      </c>
      <c r="D60" s="27">
        <v>228.1</v>
      </c>
      <c r="E60" s="27">
        <v>114.1</v>
      </c>
      <c r="F60" s="27">
        <v>228.1</v>
      </c>
      <c r="G60" s="27">
        <v>5</v>
      </c>
      <c r="H60" s="27"/>
      <c r="I60" s="27">
        <v>5</v>
      </c>
      <c r="J60" s="47">
        <v>5.9</v>
      </c>
      <c r="K60" s="108"/>
      <c r="L60" s="109"/>
      <c r="M60" s="75">
        <f>J60/4</f>
        <v>1.4750000000000001</v>
      </c>
      <c r="N60" s="75">
        <f>J60/4</f>
        <v>1.4750000000000001</v>
      </c>
      <c r="O60" s="75">
        <f>J60/4</f>
        <v>1.4750000000000001</v>
      </c>
      <c r="P60" s="75">
        <f>J60/4</f>
        <v>1.4750000000000001</v>
      </c>
    </row>
    <row r="61" spans="1:19" ht="52.5" customHeight="1">
      <c r="A61" s="24" t="s">
        <v>205</v>
      </c>
      <c r="B61" s="25" t="s">
        <v>206</v>
      </c>
      <c r="C61" s="57" t="s">
        <v>207</v>
      </c>
      <c r="D61" s="47" t="e">
        <f>D9+D44</f>
        <v>#REF!</v>
      </c>
      <c r="E61" s="47" t="e">
        <f>E9+E44</f>
        <v>#REF!</v>
      </c>
      <c r="F61" s="47" t="e">
        <f>F9+F44</f>
        <v>#REF!</v>
      </c>
      <c r="G61" s="27">
        <f t="shared" ref="G61:P61" si="23">G63+G64</f>
        <v>885.9</v>
      </c>
      <c r="H61" s="27">
        <f t="shared" si="23"/>
        <v>329.9</v>
      </c>
      <c r="I61" s="27">
        <f t="shared" si="23"/>
        <v>387</v>
      </c>
      <c r="J61" s="47">
        <f t="shared" si="23"/>
        <v>726.5</v>
      </c>
      <c r="K61" s="110">
        <f t="shared" si="23"/>
        <v>1734.1</v>
      </c>
      <c r="L61" s="111">
        <f t="shared" si="23"/>
        <v>1835.2</v>
      </c>
      <c r="M61" s="75">
        <f t="shared" si="23"/>
        <v>181.625</v>
      </c>
      <c r="N61" s="75">
        <f t="shared" si="23"/>
        <v>181.625</v>
      </c>
      <c r="O61" s="75">
        <f t="shared" si="23"/>
        <v>181.625</v>
      </c>
      <c r="P61" s="75">
        <f t="shared" si="23"/>
        <v>181.625</v>
      </c>
    </row>
    <row r="62" spans="1:19" ht="63.75">
      <c r="A62" s="24" t="s">
        <v>208</v>
      </c>
      <c r="B62" s="25" t="s">
        <v>209</v>
      </c>
      <c r="C62" s="57" t="s">
        <v>210</v>
      </c>
      <c r="D62" s="58">
        <v>30381.3</v>
      </c>
      <c r="E62" s="58">
        <f>[1]ведомст.структ!I79</f>
        <v>20086.600000000002</v>
      </c>
      <c r="F62" s="58">
        <f>[1]ведомст.структ!J79</f>
        <v>30141.100000000002</v>
      </c>
      <c r="G62" s="59">
        <f t="shared" ref="G62:P62" si="24">G63+G64</f>
        <v>885.9</v>
      </c>
      <c r="H62" s="59">
        <f t="shared" si="24"/>
        <v>329.9</v>
      </c>
      <c r="I62" s="59">
        <f t="shared" si="24"/>
        <v>387</v>
      </c>
      <c r="J62" s="101">
        <f t="shared" si="24"/>
        <v>726.5</v>
      </c>
      <c r="K62" s="112">
        <f t="shared" si="24"/>
        <v>1734.1</v>
      </c>
      <c r="L62" s="113">
        <f t="shared" si="24"/>
        <v>1835.2</v>
      </c>
      <c r="M62" s="75">
        <f t="shared" si="24"/>
        <v>181.625</v>
      </c>
      <c r="N62" s="75">
        <f t="shared" si="24"/>
        <v>181.625</v>
      </c>
      <c r="O62" s="75">
        <f t="shared" si="24"/>
        <v>181.625</v>
      </c>
      <c r="P62" s="75">
        <f t="shared" si="24"/>
        <v>181.625</v>
      </c>
    </row>
    <row r="63" spans="1:19" ht="45" customHeight="1">
      <c r="A63" s="24" t="s">
        <v>211</v>
      </c>
      <c r="B63" s="25" t="s">
        <v>212</v>
      </c>
      <c r="C63" s="26" t="s">
        <v>213</v>
      </c>
      <c r="D63" s="49" t="e">
        <f>D61-D62</f>
        <v>#REF!</v>
      </c>
      <c r="E63" s="49" t="e">
        <f>E61-E62</f>
        <v>#REF!</v>
      </c>
      <c r="F63" s="49" t="e">
        <f>F61-F62</f>
        <v>#REF!</v>
      </c>
      <c r="G63" s="27">
        <v>602.4</v>
      </c>
      <c r="H63" s="27">
        <v>258</v>
      </c>
      <c r="I63" s="27">
        <f>H63/8*12</f>
        <v>387</v>
      </c>
      <c r="J63" s="47">
        <v>726.5</v>
      </c>
      <c r="K63" s="114">
        <v>1155.3</v>
      </c>
      <c r="L63" s="90">
        <v>1218.8</v>
      </c>
      <c r="M63" s="75">
        <f>J63/4</f>
        <v>181.625</v>
      </c>
      <c r="N63" s="75">
        <f>J63/4</f>
        <v>181.625</v>
      </c>
      <c r="O63" s="75">
        <f>J63/4</f>
        <v>181.625</v>
      </c>
      <c r="P63" s="75">
        <f>J63/4</f>
        <v>181.625</v>
      </c>
    </row>
    <row r="64" spans="1:19" ht="46.5" customHeight="1">
      <c r="A64" s="24" t="s">
        <v>214</v>
      </c>
      <c r="B64" s="25" t="s">
        <v>215</v>
      </c>
      <c r="C64" s="26" t="s">
        <v>216</v>
      </c>
      <c r="D64" s="28"/>
      <c r="E64" s="60"/>
      <c r="F64" s="60"/>
      <c r="G64" s="27">
        <v>283.5</v>
      </c>
      <c r="H64" s="27">
        <v>71.900000000000006</v>
      </c>
      <c r="I64" s="27"/>
      <c r="J64" s="47">
        <v>0</v>
      </c>
      <c r="K64" s="114">
        <v>578.79999999999995</v>
      </c>
      <c r="L64" s="90">
        <v>616.4</v>
      </c>
      <c r="M64" s="75">
        <f>J64/4</f>
        <v>0</v>
      </c>
      <c r="N64" s="75">
        <f>J64/4</f>
        <v>0</v>
      </c>
      <c r="O64" s="75">
        <f>J64/4</f>
        <v>0</v>
      </c>
      <c r="P64" s="75">
        <f>J64/4</f>
        <v>0</v>
      </c>
    </row>
    <row r="65" spans="1:16" ht="18.75">
      <c r="A65" s="14"/>
      <c r="B65" s="122"/>
      <c r="C65" s="123" t="s">
        <v>217</v>
      </c>
      <c r="D65" s="58" t="e">
        <f>D61-D44</f>
        <v>#REF!</v>
      </c>
      <c r="E65" s="58" t="e">
        <f>E61-E44</f>
        <v>#REF!</v>
      </c>
      <c r="F65" s="58" t="e">
        <f>F61-F44</f>
        <v>#REF!</v>
      </c>
      <c r="G65" s="58">
        <f t="shared" ref="G65:P65" si="25">G9+G48</f>
        <v>51728.2</v>
      </c>
      <c r="H65" s="58">
        <f t="shared" si="25"/>
        <v>23927.7</v>
      </c>
      <c r="I65" s="58">
        <f t="shared" si="25"/>
        <v>48661.7</v>
      </c>
      <c r="J65" s="58">
        <f t="shared" si="25"/>
        <v>92568.5</v>
      </c>
      <c r="K65" s="134">
        <f t="shared" si="25"/>
        <v>87828.79</v>
      </c>
      <c r="L65" s="135">
        <f t="shared" si="25"/>
        <v>89475.092449999996</v>
      </c>
      <c r="M65" s="78">
        <f t="shared" si="25"/>
        <v>25029.891666666699</v>
      </c>
      <c r="N65" s="78">
        <f t="shared" si="25"/>
        <v>25029.891666666699</v>
      </c>
      <c r="O65" s="78">
        <f t="shared" si="25"/>
        <v>25029.891666666699</v>
      </c>
      <c r="P65" s="78">
        <f t="shared" si="25"/>
        <v>16664.224999999999</v>
      </c>
    </row>
    <row r="66" spans="1:16" ht="18.75" hidden="1">
      <c r="A66" s="124"/>
      <c r="B66" s="125"/>
      <c r="C66" s="126" t="s">
        <v>218</v>
      </c>
      <c r="G66" s="127" t="e">
        <f>#REF!</f>
        <v>#REF!</v>
      </c>
      <c r="H66" s="127" t="e">
        <f>#REF!</f>
        <v>#REF!</v>
      </c>
      <c r="I66" s="127" t="e">
        <f>#REF!</f>
        <v>#REF!</v>
      </c>
      <c r="J66" s="127" t="e">
        <f>#REF!</f>
        <v>#REF!</v>
      </c>
      <c r="K66" s="127" t="e">
        <f>#REF!</f>
        <v>#REF!</v>
      </c>
      <c r="L66" s="127" t="e">
        <f>#REF!</f>
        <v>#REF!</v>
      </c>
    </row>
    <row r="67" spans="1:16" ht="18.75" hidden="1">
      <c r="A67" s="124"/>
      <c r="B67" s="125"/>
      <c r="C67" s="128" t="s">
        <v>219</v>
      </c>
      <c r="G67" s="129" t="e">
        <f t="shared" ref="G67:L67" si="26">G65-G66</f>
        <v>#REF!</v>
      </c>
      <c r="H67" s="129" t="e">
        <f t="shared" si="26"/>
        <v>#REF!</v>
      </c>
      <c r="I67" s="129" t="e">
        <f t="shared" si="26"/>
        <v>#REF!</v>
      </c>
      <c r="J67" s="129" t="e">
        <f t="shared" si="26"/>
        <v>#REF!</v>
      </c>
      <c r="K67" s="129" t="e">
        <f t="shared" si="26"/>
        <v>#REF!</v>
      </c>
      <c r="L67" s="129" t="e">
        <f t="shared" si="26"/>
        <v>#REF!</v>
      </c>
    </row>
    <row r="68" spans="1:16" hidden="1">
      <c r="A68" s="130"/>
    </row>
    <row r="69" spans="1:16" ht="18.75" hidden="1">
      <c r="A69" s="131"/>
      <c r="B69" s="132" t="s">
        <v>220</v>
      </c>
      <c r="C69" s="132"/>
      <c r="G69" s="133">
        <f t="shared" ref="G69:L69" si="27">G65-G48</f>
        <v>29725.4</v>
      </c>
      <c r="H69" s="133">
        <f t="shared" si="27"/>
        <v>17464.400000000001</v>
      </c>
      <c r="I69" s="133">
        <f t="shared" si="27"/>
        <v>29091.9</v>
      </c>
      <c r="J69" s="133">
        <f t="shared" si="27"/>
        <v>26445.599999999999</v>
      </c>
      <c r="K69" s="133">
        <f t="shared" si="27"/>
        <v>27354.59</v>
      </c>
      <c r="L69" s="133">
        <f t="shared" si="27"/>
        <v>28859.09245</v>
      </c>
    </row>
    <row r="70" spans="1:16" hidden="1"/>
    <row r="71" spans="1:16" hidden="1"/>
    <row r="72" spans="1:16" hidden="1">
      <c r="J72">
        <f>J65-J56</f>
        <v>91037.8</v>
      </c>
    </row>
    <row r="73" spans="1:16" hidden="1">
      <c r="J73">
        <f>J72*0.31</f>
        <v>28221.718000000001</v>
      </c>
    </row>
    <row r="74" spans="1:16" hidden="1"/>
    <row r="75" spans="1:16" hidden="1"/>
    <row r="77" spans="1:16">
      <c r="P77" s="136"/>
    </row>
  </sheetData>
  <mergeCells count="5">
    <mergeCell ref="C1:P1"/>
    <mergeCell ref="C4:P4"/>
    <mergeCell ref="A5:P5"/>
    <mergeCell ref="A6:P6"/>
    <mergeCell ref="O7:P7"/>
  </mergeCells>
  <pageMargins left="0.59055118110236204" right="0.39370078740157499" top="0.39370078740157499" bottom="0.39370078740157499" header="0" footer="0"/>
  <pageSetup paperSize="9" scale="70" fitToHeight="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1Р.</vt:lpstr>
      <vt:lpstr>доходы 2016</vt:lpstr>
      <vt:lpstr>Функц 2023 (прил 2)</vt:lpstr>
      <vt:lpstr>Вед. 2023 (прил 3)</vt:lpstr>
      <vt:lpstr>1Р. (2)</vt:lpstr>
      <vt:lpstr>доходы 2016 (2)</vt:lpstr>
      <vt:lpstr>'доходы 2016'!Заголовки_для_печати</vt:lpstr>
      <vt:lpstr>'доходы 2016 (2)'!Заголовки_для_печати</vt:lpstr>
      <vt:lpstr>'1Р.'!Область_печати</vt:lpstr>
      <vt:lpstr>'1Р. (2)'!Область_печати</vt:lpstr>
      <vt:lpstr>'Вед. 2023 (прил 3)'!Область_печати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Akimov</cp:lastModifiedBy>
  <cp:lastPrinted>2023-02-10T05:47:07Z</cp:lastPrinted>
  <dcterms:created xsi:type="dcterms:W3CDTF">1999-12-27T10:35:00Z</dcterms:created>
  <dcterms:modified xsi:type="dcterms:W3CDTF">2023-04-06T08:06:11Z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3EC4C5C962754E8AB596B086B576F3BA</vt:lpwstr>
  </property>
  <property fmtid="{D5CDD505-2E9C-101B-9397-08002B2CF9AE}" pid="3" name="KSOProductBuildVer">
    <vt:lpwstr>1049-11.2.0.10382</vt:lpwstr>
  </property>
</Properties>
</file>