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65" firstSheet="2" activeTab="3"/>
  </bookViews>
  <sheets>
    <sheet name="1Р." sheetId="1" state="hidden" r:id="rId1"/>
    <sheet name="доходы 2016" sheetId="2" state="hidden" r:id="rId2"/>
    <sheet name="Доходы 2021 приложение 1" sheetId="3" r:id="rId3"/>
    <sheet name="Источники приложение 5" sheetId="4" r:id="rId4"/>
  </sheets>
  <externalReferences>
    <externalReference r:id="rId7"/>
  </externalReferences>
  <definedNames>
    <definedName name="_xlnm.Print_Titles" localSheetId="1">'доходы 2016'!$8:$8</definedName>
    <definedName name="_xlnm.Print_Titles" localSheetId="2">'Доходы 2021 приложение 1'!$8:$8</definedName>
    <definedName name="_xlnm.Print_Area" localSheetId="0">'1Р.'!$A$1:$H$65</definedName>
    <definedName name="_xlnm.Print_Area" localSheetId="2">'Доходы 2021 приложение 1'!$A$1:$J$53</definedName>
  </definedNames>
  <calcPr fullCalcOnLoad="1"/>
</workbook>
</file>

<file path=xl/sharedStrings.xml><?xml version="1.0" encoding="utf-8"?>
<sst xmlns="http://schemas.openxmlformats.org/spreadsheetml/2006/main" count="423" uniqueCount="305">
  <si>
    <t>№ п/п</t>
  </si>
  <si>
    <t>Источники доходов</t>
  </si>
  <si>
    <t>I</t>
  </si>
  <si>
    <t>2.</t>
  </si>
  <si>
    <t>НАЛОГИ НА СОВОКУПНЫЙ ДОХОД</t>
  </si>
  <si>
    <t>НАЛОГИ НА ИМУЩЕСТВО</t>
  </si>
  <si>
    <t>1.</t>
  </si>
  <si>
    <t>ИТОГО ДОХОДОВ</t>
  </si>
  <si>
    <t>Код статьи</t>
  </si>
  <si>
    <t>ВСЕГО РАСХОДОВ</t>
  </si>
  <si>
    <t>ДЕФИЦИТ(-) Профицит(+)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</si>
  <si>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</si>
  <si>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</si>
  <si>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</si>
  <si>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</si>
  <si>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</si>
  <si>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1.1.1.1</t>
  </si>
  <si>
    <t>1.1.1</t>
  </si>
  <si>
    <t>II</t>
  </si>
  <si>
    <t>000 1 16 90000 00 0000 140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</si>
  <si>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</si>
  <si>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</si>
  <si>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</si>
  <si>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</si>
  <si>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</si>
  <si>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</si>
  <si>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</si>
  <si>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</si>
  <si>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</si>
  <si>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</si>
  <si>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</si>
  <si>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</si>
  <si>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</si>
  <si>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</si>
  <si>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</si>
  <si>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</si>
  <si>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</si>
  <si>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</si>
  <si>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</si>
  <si>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</si>
  <si>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</si>
  <si>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</si>
  <si>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5.1.1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</si>
  <si>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</si>
  <si>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</si>
  <si>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</si>
  <si>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</si>
  <si>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</si>
  <si>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</si>
  <si>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Сумма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</si>
  <si>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</si>
  <si>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</si>
  <si>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</si>
  <si>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</si>
  <si>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</si>
  <si>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</si>
  <si>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</si>
  <si>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</si>
  <si>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</si>
  <si>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</si>
  <si>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</si>
  <si>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</si>
  <si>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</si>
  <si>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</si>
  <si>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</si>
  <si>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</si>
  <si>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</si>
  <si>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</si>
  <si>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</si>
  <si>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</si>
  <si>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</si>
  <si>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</si>
  <si>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</si>
  <si>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</si>
  <si>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</si>
  <si>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</si>
  <si>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</si>
  <si>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</si>
  <si>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</si>
  <si>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</si>
  <si>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</si>
  <si>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</si>
  <si>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</si>
  <si>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</si>
  <si>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</si>
  <si>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</si>
  <si>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</si>
  <si>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</si>
  <si>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</si>
  <si>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</si>
  <si>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</si>
  <si>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</si>
  <si>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</si>
  <si>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</si>
  <si>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</si>
  <si>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</si>
  <si>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</si>
  <si>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</si>
  <si>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</si>
  <si>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</si>
  <si>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</si>
  <si>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</si>
  <si>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</si>
  <si>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</si>
  <si>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</si>
  <si>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</si>
  <si>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</si>
  <si>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</si>
  <si>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</si>
  <si>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</si>
  <si>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7.1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</si>
  <si>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</si>
  <si>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</si>
  <si>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</si>
  <si>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</si>
  <si>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</si>
  <si>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2.1.1.1</t>
  </si>
  <si>
    <t xml:space="preserve">860 1 16 90030 03 0200 140 </t>
  </si>
  <si>
    <t>1.2.1</t>
  </si>
  <si>
    <t>1.1.2.1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</si>
  <si>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</si>
  <si>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</si>
  <si>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</si>
  <si>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</si>
  <si>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</si>
  <si>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</si>
  <si>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</si>
  <si>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</si>
  <si>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</si>
  <si>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</si>
  <si>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</si>
  <si>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</si>
  <si>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</si>
  <si>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</si>
  <si>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</si>
  <si>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</si>
  <si>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</si>
  <si>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</si>
  <si>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</si>
  <si>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Исполнение  на 1.09.11</t>
  </si>
  <si>
    <t>000 2 02 02000 00 0000 151</t>
  </si>
  <si>
    <t>000 2 02 02999 00 0000 151</t>
  </si>
  <si>
    <t>Прочие субсидии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</si>
  <si>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</si>
  <si>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</si>
  <si>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1.3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</si>
  <si>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</si>
  <si>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</si>
  <si>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</si>
  <si>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</si>
  <si>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</si>
  <si>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</si>
  <si>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</si>
  <si>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</si>
  <si>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</si>
  <si>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</si>
  <si>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</si>
  <si>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</si>
  <si>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</si>
  <si>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</si>
  <si>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</si>
  <si>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Прогноз исполнения за 2013 год</t>
  </si>
  <si>
    <t>Проект на 2016 год</t>
  </si>
  <si>
    <t>7.1.1.1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</si>
  <si>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</si>
  <si>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</si>
  <si>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</si>
  <si>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</si>
  <si>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</si>
  <si>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</si>
  <si>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</si>
  <si>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</si>
  <si>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</si>
  <si>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</si>
  <si>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</si>
  <si>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</si>
  <si>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</si>
  <si>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</si>
  <si>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</si>
  <si>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</si>
  <si>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</si>
  <si>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</si>
  <si>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</si>
  <si>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</si>
  <si>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</si>
  <si>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</si>
  <si>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</si>
  <si>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</si>
  <si>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</si>
  <si>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</si>
  <si>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</si>
  <si>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</si>
  <si>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</si>
  <si>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</si>
  <si>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</si>
  <si>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</si>
  <si>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</si>
  <si>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</si>
  <si>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</si>
  <si>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</si>
  <si>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</si>
  <si>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</si>
  <si>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</si>
  <si>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</si>
  <si>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</si>
  <si>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</si>
  <si>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</si>
  <si>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</si>
  <si>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</si>
  <si>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</si>
  <si>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</si>
  <si>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</si>
  <si>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</si>
  <si>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</si>
  <si>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</si>
  <si>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</si>
  <si>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</si>
  <si>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</si>
  <si>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</si>
  <si>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</si>
  <si>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</si>
  <si>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</si>
  <si>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4.1.1.1.1</t>
  </si>
  <si>
    <t>2.2.1</t>
  </si>
  <si>
    <t>2.2</t>
  </si>
  <si>
    <t>2.1.1.2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</si>
  <si>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</si>
  <si>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</si>
  <si>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</si>
  <si>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4.1.1.1.0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</si>
  <si>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</si>
  <si>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867 1 13 02993 03 0100 130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</si>
  <si>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</si>
  <si>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3.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</si>
  <si>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</si>
  <si>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2.1.1.1.0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</si>
  <si>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</si>
  <si>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Единый налог на вмененный доход для отдельных видов деятельности 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</si>
  <si>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</si>
  <si>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</si>
  <si>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№ 1</t>
  </si>
  <si>
    <t xml:space="preserve"> МЕСТНОГО БЮДЖЕТА МУНИЦИПАЛЬНОГО ОБРАЗОВАНИЯ ПОСЕЛОК ЛИСИЙ НОС НА 2020 ГОД</t>
  </si>
  <si>
    <t>Платежи от государственных и муниципальных унитарных предприятий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</si>
  <si>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</si>
  <si>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</si>
  <si>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000 1 16 02010 02 0000 140 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</si>
  <si>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</si>
  <si>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806 1 16 02010 02 0100 140</t>
  </si>
  <si>
    <t>860 1 16 02010 02 0100 140</t>
  </si>
  <si>
    <t xml:space="preserve">к решению Муниципального Совета МО пос. Лисий Нос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</si>
  <si>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</si>
  <si>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</si>
  <si>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</si>
  <si>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</si>
  <si>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993 2 02 15001 03 0000 150</t>
  </si>
  <si>
    <t xml:space="preserve">993 2 02 30024 03 0200 150 </t>
  </si>
  <si>
    <t xml:space="preserve">993 2 02 30027 03 0100 150 </t>
  </si>
  <si>
    <t>000 1 01 00000 00 0000 000</t>
  </si>
  <si>
    <t>000 1 01 02000 01 0000 110</t>
  </si>
  <si>
    <t>000 2 02 00000 00 0000 000</t>
  </si>
  <si>
    <t>000 2 02 15001 00 0000 150</t>
  </si>
  <si>
    <t>000 2 02 10000 00 0000 150</t>
  </si>
  <si>
    <t>Дотации бюджетам системы Российской Федерации</t>
  </si>
  <si>
    <t>Дотации бюджетам внутригородских муниципальных образований городов федерального значения  на выравнивание   бюджетной обеспеченности из бюджета субъекта Российской Федерации</t>
  </si>
  <si>
    <t>000 2 02 03000 00 0000 150</t>
  </si>
  <si>
    <t>000 2 02 30024 00 0000 150</t>
  </si>
  <si>
    <t xml:space="preserve">993 2 02 30024 03 0000 150 </t>
  </si>
  <si>
    <t xml:space="preserve">993 2 02 30024 03 0100 150 </t>
  </si>
  <si>
    <t xml:space="preserve">000 2 02 30027 00 0000 150 </t>
  </si>
  <si>
    <t>2.2.2</t>
  </si>
  <si>
    <t xml:space="preserve">993 2 02 30027 03 0000 150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</si>
  <si>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вознагрождение причетающееся приемному родителю</t>
  </si>
  <si>
    <t>993 2 02 15002 03 0000 150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</si>
  <si>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</si>
  <si>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</si>
  <si>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993 2 02 15002 00 0000 150</t>
  </si>
  <si>
    <t xml:space="preserve">                         Приложение № 5</t>
  </si>
  <si>
    <t xml:space="preserve">Источники финансирования дефицита местного бюджета муниципального </t>
  </si>
  <si>
    <t xml:space="preserve">образования пос. Лисий Нос  </t>
  </si>
  <si>
    <t>на 2021 год</t>
  </si>
  <si>
    <t>(тыс.руб.)</t>
  </si>
  <si>
    <t>Код</t>
  </si>
  <si>
    <t>Наименование</t>
  </si>
  <si>
    <t xml:space="preserve"> Сумма 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</si>
  <si>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</si>
  <si>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</si>
  <si>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</si>
  <si>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</si>
  <si>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</si>
  <si>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</si>
  <si>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</si>
  <si>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</si>
  <si>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</si>
  <si>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993 01 05 02 01 03 0000 510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</si>
  <si>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</si>
  <si>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000 01 05 00 00 00 0000 600</t>
  </si>
  <si>
    <t>Уменьшение остатков средств бюджетов</t>
  </si>
  <si>
    <t>000 01 05 02 00 00 0000 600</t>
  </si>
  <si>
    <t>Уменьшение  прочих остатков средств бюджетов</t>
  </si>
  <si>
    <t>000  01 05 02 01 00 0000 610</t>
  </si>
  <si>
    <t>Уменьшение  прочих остатков денежных  средств бюджетов</t>
  </si>
  <si>
    <t>993 01 05 02 01 03 0000 610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</si>
  <si>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</si>
  <si>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Итого по источникам внутреннего финансирования дефицита бюджета</t>
  </si>
  <si>
    <t>Всего источников финансирования дефицита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</si>
</sst>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&quot;р.&quot;"/>
    <numFmt numFmtId="175" formatCode="#,##0.00&quot;р.&quot;"/>
    <numFmt numFmtId="176" formatCode="0.0%"/>
  </numFmts>
  <fonts count="5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4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8" fillId="0" borderId="0" xfId="58">
      <alignment/>
      <protection/>
    </xf>
    <xf numFmtId="175" fontId="8" fillId="0" borderId="0" xfId="58" applyNumberFormat="1" applyFont="1" applyFill="1" applyBorder="1" applyAlignment="1" applyProtection="1">
      <alignment horizontal="right" vertical="top"/>
      <protection/>
    </xf>
    <xf numFmtId="0" fontId="8" fillId="0" borderId="0" xfId="58" applyNumberFormat="1" applyFont="1" applyFill="1" applyBorder="1" applyAlignment="1" applyProtection="1">
      <alignment vertical="top"/>
      <protection/>
    </xf>
    <xf numFmtId="9" fontId="8" fillId="0" borderId="0" xfId="58" applyNumberFormat="1" applyFont="1" applyFill="1" applyBorder="1" applyAlignment="1" applyProtection="1">
      <alignment vertical="top"/>
      <protection/>
    </xf>
    <xf numFmtId="42" fontId="8" fillId="0" borderId="0" xfId="58" applyNumberFormat="1" applyFont="1" applyFill="1" applyBorder="1" applyAlignment="1" applyProtection="1">
      <alignment horizontal="right" vertical="top"/>
      <protection/>
    </xf>
    <xf numFmtId="175" fontId="8" fillId="0" borderId="0" xfId="58" applyNumberFormat="1">
      <alignment/>
      <protection/>
    </xf>
    <xf numFmtId="4" fontId="8" fillId="0" borderId="0" xfId="58" applyNumberFormat="1" applyFont="1" applyFill="1" applyBorder="1" applyAlignment="1" applyProtection="1">
      <alignment vertical="top"/>
      <protection/>
    </xf>
    <xf numFmtId="175" fontId="9" fillId="0" borderId="0" xfId="58" applyNumberFormat="1" applyFont="1">
      <alignment/>
      <protection/>
    </xf>
    <xf numFmtId="175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horizontal="center" vertical="top"/>
      <protection/>
    </xf>
    <xf numFmtId="9" fontId="8" fillId="0" borderId="10" xfId="58" applyNumberFormat="1" applyFont="1" applyFill="1" applyBorder="1" applyAlignment="1" applyProtection="1">
      <alignment vertical="top"/>
      <protection/>
    </xf>
    <xf numFmtId="42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vertical="top"/>
      <protection/>
    </xf>
    <xf numFmtId="4" fontId="10" fillId="0" borderId="10" xfId="58" applyNumberFormat="1" applyFont="1" applyFill="1" applyBorder="1" applyAlignment="1" applyProtection="1">
      <alignment vertical="top"/>
      <protection/>
    </xf>
    <xf numFmtId="0" fontId="8" fillId="0" borderId="10" xfId="58" applyNumberFormat="1" applyFill="1" applyBorder="1" applyAlignment="1" applyProtection="1">
      <alignment vertical="top"/>
      <protection/>
    </xf>
    <xf numFmtId="4" fontId="10" fillId="0" borderId="0" xfId="58" applyNumberFormat="1" applyFont="1" applyFill="1" applyBorder="1" applyAlignment="1" applyProtection="1">
      <alignment vertical="top"/>
      <protection/>
    </xf>
    <xf numFmtId="175" fontId="8" fillId="0" borderId="11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vertical="top"/>
      <protection/>
    </xf>
    <xf numFmtId="0" fontId="8" fillId="0" borderId="0" xfId="58" applyNumberFormat="1" applyFont="1" applyFill="1" applyBorder="1" applyAlignment="1" applyProtection="1">
      <alignment horizontal="center" vertical="top"/>
      <protection/>
    </xf>
    <xf numFmtId="0" fontId="8" fillId="0" borderId="0" xfId="58" applyNumberFormat="1" applyFill="1" applyBorder="1" applyAlignment="1" applyProtection="1">
      <alignment vertical="top"/>
      <protection/>
    </xf>
    <xf numFmtId="174" fontId="8" fillId="0" borderId="10" xfId="58" applyNumberFormat="1" applyFont="1" applyFill="1" applyBorder="1" applyAlignment="1" applyProtection="1">
      <alignment vertical="top"/>
      <protection/>
    </xf>
    <xf numFmtId="42" fontId="10" fillId="0" borderId="10" xfId="58" applyNumberFormat="1" applyFont="1" applyFill="1" applyBorder="1" applyAlignment="1" applyProtection="1">
      <alignment horizontal="right" vertical="top"/>
      <protection/>
    </xf>
    <xf numFmtId="9" fontId="8" fillId="0" borderId="10" xfId="58" applyNumberFormat="1" applyFont="1" applyFill="1" applyBorder="1" applyAlignment="1" applyProtection="1">
      <alignment horizontal="center" vertical="top"/>
      <protection/>
    </xf>
    <xf numFmtId="9" fontId="8" fillId="0" borderId="0" xfId="58" applyNumberFormat="1" applyFont="1" applyFill="1" applyBorder="1" applyAlignment="1" applyProtection="1">
      <alignment horizontal="center" vertical="top"/>
      <protection/>
    </xf>
    <xf numFmtId="175" fontId="0" fillId="0" borderId="12" xfId="58" applyNumberFormat="1" applyFont="1" applyFill="1" applyBorder="1" applyAlignment="1" applyProtection="1">
      <alignment horizontal="right" vertical="top"/>
      <protection/>
    </xf>
    <xf numFmtId="0" fontId="8" fillId="0" borderId="13" xfId="58" applyNumberFormat="1" applyFont="1" applyFill="1" applyBorder="1" applyAlignment="1" applyProtection="1">
      <alignment horizontal="center" vertical="top"/>
      <protection/>
    </xf>
    <xf numFmtId="9" fontId="8" fillId="0" borderId="13" xfId="58" applyNumberFormat="1" applyFont="1" applyFill="1" applyBorder="1" applyAlignment="1" applyProtection="1">
      <alignment horizontal="center" vertical="top"/>
      <protection/>
    </xf>
    <xf numFmtId="176" fontId="8" fillId="0" borderId="13" xfId="58" applyNumberFormat="1" applyFill="1" applyBorder="1" applyAlignment="1" applyProtection="1">
      <alignment horizontal="right" vertical="top"/>
      <protection/>
    </xf>
    <xf numFmtId="3" fontId="8" fillId="0" borderId="13" xfId="58" applyNumberFormat="1" applyFont="1" applyFill="1" applyBorder="1" applyAlignment="1" applyProtection="1">
      <alignment horizontal="center" vertical="top"/>
      <protection/>
    </xf>
    <xf numFmtId="0" fontId="8" fillId="0" borderId="13" xfId="58" applyNumberFormat="1" applyFill="1" applyBorder="1" applyAlignment="1" applyProtection="1">
      <alignment horizontal="center" vertical="top"/>
      <protection/>
    </xf>
    <xf numFmtId="0" fontId="8" fillId="0" borderId="13" xfId="58" applyNumberFormat="1" applyFill="1" applyBorder="1" applyAlignment="1" applyProtection="1">
      <alignment vertical="top"/>
      <protection/>
    </xf>
    <xf numFmtId="0" fontId="8" fillId="0" borderId="14" xfId="58" applyNumberFormat="1" applyFont="1" applyFill="1" applyBorder="1" applyAlignment="1" applyProtection="1">
      <alignment horizontal="center" vertical="top"/>
      <protection/>
    </xf>
    <xf numFmtId="9" fontId="8" fillId="0" borderId="14" xfId="58" applyNumberFormat="1" applyFont="1" applyFill="1" applyBorder="1" applyAlignment="1" applyProtection="1">
      <alignment horizontal="center" vertical="top"/>
      <protection/>
    </xf>
    <xf numFmtId="42" fontId="8" fillId="0" borderId="14" xfId="58" applyNumberFormat="1" applyFont="1" applyFill="1" applyBorder="1" applyAlignment="1" applyProtection="1">
      <alignment horizontal="right" vertical="top"/>
      <protection/>
    </xf>
    <xf numFmtId="3" fontId="8" fillId="0" borderId="14" xfId="58" applyNumberFormat="1" applyFont="1" applyFill="1" applyBorder="1" applyAlignment="1" applyProtection="1">
      <alignment horizontal="center" vertical="top"/>
      <protection/>
    </xf>
    <xf numFmtId="0" fontId="8" fillId="0" borderId="14" xfId="58" applyNumberFormat="1" applyFill="1" applyBorder="1" applyAlignment="1" applyProtection="1">
      <alignment vertical="top"/>
      <protection/>
    </xf>
    <xf numFmtId="175" fontId="8" fillId="0" borderId="15" xfId="58" applyNumberFormat="1" applyFont="1" applyFill="1" applyBorder="1" applyAlignment="1" applyProtection="1">
      <alignment horizontal="right" vertical="top"/>
      <protection/>
    </xf>
    <xf numFmtId="42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4" xfId="58" applyNumberFormat="1" applyFont="1" applyFill="1" applyBorder="1" applyAlignment="1" applyProtection="1">
      <alignment horizontal="center" vertical="top"/>
      <protection/>
    </xf>
    <xf numFmtId="175" fontId="8" fillId="0" borderId="15" xfId="58" applyNumberFormat="1" applyFont="1" applyFill="1" applyBorder="1" applyAlignment="1" applyProtection="1">
      <alignment horizontal="right" vertical="top"/>
      <protection/>
    </xf>
    <xf numFmtId="9" fontId="8" fillId="0" borderId="14" xfId="58" applyNumberFormat="1" applyFont="1" applyFill="1" applyBorder="1" applyAlignment="1" applyProtection="1">
      <alignment horizontal="center" vertical="top"/>
      <protection/>
    </xf>
    <xf numFmtId="3" fontId="8" fillId="0" borderId="10" xfId="58" applyNumberFormat="1" applyFont="1" applyFill="1" applyBorder="1" applyAlignment="1" applyProtection="1">
      <alignment horizontal="center" vertical="top"/>
      <protection/>
    </xf>
    <xf numFmtId="175" fontId="0" fillId="0" borderId="15" xfId="58" applyNumberFormat="1" applyFont="1" applyFill="1" applyBorder="1" applyAlignment="1" applyProtection="1">
      <alignment horizontal="right" vertical="top"/>
      <protection/>
    </xf>
    <xf numFmtId="176" fontId="8" fillId="0" borderId="10" xfId="58" applyNumberFormat="1" applyFill="1" applyBorder="1" applyAlignment="1" applyProtection="1">
      <alignment horizontal="right" vertical="top"/>
      <protection/>
    </xf>
    <xf numFmtId="0" fontId="8" fillId="0" borderId="10" xfId="58" applyNumberFormat="1" applyFill="1" applyBorder="1" applyAlignment="1" applyProtection="1">
      <alignment horizontal="center" vertical="top"/>
      <protection/>
    </xf>
    <xf numFmtId="175" fontId="8" fillId="0" borderId="16" xfId="58" applyNumberFormat="1" applyFont="1" applyFill="1" applyBorder="1" applyAlignment="1" applyProtection="1">
      <alignment horizontal="right" vertical="top"/>
      <protection/>
    </xf>
    <xf numFmtId="0" fontId="8" fillId="0" borderId="17" xfId="58" applyNumberFormat="1" applyFont="1" applyFill="1" applyBorder="1" applyAlignment="1" applyProtection="1">
      <alignment horizontal="center" vertical="top"/>
      <protection/>
    </xf>
    <xf numFmtId="9" fontId="8" fillId="0" borderId="17" xfId="58" applyNumberFormat="1" applyFont="1" applyFill="1" applyBorder="1" applyAlignment="1" applyProtection="1">
      <alignment horizontal="center" vertical="top"/>
      <protection/>
    </xf>
    <xf numFmtId="42" fontId="8" fillId="0" borderId="17" xfId="58" applyNumberFormat="1" applyFont="1" applyFill="1" applyBorder="1" applyAlignment="1" applyProtection="1">
      <alignment horizontal="right" vertical="top"/>
      <protection/>
    </xf>
    <xf numFmtId="0" fontId="8" fillId="0" borderId="17" xfId="58" applyNumberFormat="1" applyFill="1" applyBorder="1" applyAlignment="1" applyProtection="1">
      <alignment horizontal="center" vertical="top"/>
      <protection/>
    </xf>
    <xf numFmtId="175" fontId="8" fillId="0" borderId="18" xfId="58" applyNumberFormat="1" applyFill="1" applyBorder="1" applyAlignment="1" applyProtection="1">
      <alignment horizontal="center" vertical="top"/>
      <protection/>
    </xf>
    <xf numFmtId="0" fontId="8" fillId="0" borderId="19" xfId="58" applyNumberFormat="1" applyFont="1" applyFill="1" applyBorder="1" applyAlignment="1" applyProtection="1">
      <alignment horizontal="center" vertical="top"/>
      <protection/>
    </xf>
    <xf numFmtId="9" fontId="8" fillId="0" borderId="19" xfId="58" applyNumberFormat="1" applyFont="1" applyFill="1" applyBorder="1" applyAlignment="1" applyProtection="1">
      <alignment horizontal="center" vertical="top"/>
      <protection/>
    </xf>
    <xf numFmtId="42" fontId="8" fillId="0" borderId="19" xfId="58" applyNumberFormat="1" applyFill="1" applyBorder="1" applyAlignment="1" applyProtection="1">
      <alignment horizontal="center" vertical="top"/>
      <protection/>
    </xf>
    <xf numFmtId="0" fontId="8" fillId="0" borderId="19" xfId="58" applyNumberFormat="1" applyFill="1" applyBorder="1" applyAlignment="1" applyProtection="1">
      <alignment horizontal="center" vertical="top"/>
      <protection/>
    </xf>
    <xf numFmtId="4" fontId="8" fillId="0" borderId="0" xfId="58" applyNumberFormat="1" applyFont="1" applyFill="1" applyBorder="1" applyAlignment="1" applyProtection="1">
      <alignment horizontal="center" vertical="top"/>
      <protection/>
    </xf>
    <xf numFmtId="0" fontId="8" fillId="0" borderId="13" xfId="58" applyNumberFormat="1" applyFont="1" applyFill="1" applyBorder="1" applyAlignment="1" applyProtection="1">
      <alignment vertical="top"/>
      <protection/>
    </xf>
    <xf numFmtId="0" fontId="8" fillId="0" borderId="10" xfId="58" applyNumberFormat="1" applyFont="1" applyFill="1" applyBorder="1" applyAlignment="1" applyProtection="1">
      <alignment horizontal="center" vertical="top"/>
      <protection/>
    </xf>
    <xf numFmtId="0" fontId="8" fillId="0" borderId="17" xfId="58" applyNumberFormat="1" applyFont="1" applyFill="1" applyBorder="1" applyAlignment="1" applyProtection="1">
      <alignment horizontal="center" vertical="top"/>
      <protection/>
    </xf>
    <xf numFmtId="175" fontId="8" fillId="0" borderId="18" xfId="58" applyNumberFormat="1" applyFill="1" applyBorder="1" applyAlignment="1" applyProtection="1">
      <alignment horizontal="center" vertical="center"/>
      <protection/>
    </xf>
    <xf numFmtId="0" fontId="8" fillId="0" borderId="19" xfId="58" applyNumberFormat="1" applyFill="1" applyBorder="1" applyAlignment="1" applyProtection="1">
      <alignment horizontal="center" vertical="center"/>
      <protection/>
    </xf>
    <xf numFmtId="9" fontId="8" fillId="0" borderId="19" xfId="58" applyNumberFormat="1" applyFont="1" applyFill="1" applyBorder="1" applyAlignment="1" applyProtection="1">
      <alignment horizontal="center" vertical="center"/>
      <protection/>
    </xf>
    <xf numFmtId="42" fontId="8" fillId="0" borderId="19" xfId="58" applyNumberFormat="1" applyFill="1" applyBorder="1" applyAlignment="1" applyProtection="1">
      <alignment horizontal="center" vertical="center"/>
      <protection/>
    </xf>
    <xf numFmtId="0" fontId="8" fillId="0" borderId="0" xfId="58" applyNumberFormat="1" applyFill="1" applyBorder="1" applyAlignment="1" applyProtection="1">
      <alignment horizontal="center" vertical="top"/>
      <protection/>
    </xf>
    <xf numFmtId="42" fontId="8" fillId="0" borderId="14" xfId="58" applyNumberFormat="1" applyFont="1" applyFill="1" applyBorder="1" applyAlignment="1" applyProtection="1">
      <alignment horizontal="right" vertical="top"/>
      <protection/>
    </xf>
    <xf numFmtId="175" fontId="8" fillId="0" borderId="20" xfId="58" applyNumberFormat="1" applyFont="1" applyFill="1" applyBorder="1" applyAlignment="1" applyProtection="1">
      <alignment horizontal="right" vertical="top"/>
      <protection/>
    </xf>
    <xf numFmtId="3" fontId="8" fillId="0" borderId="17" xfId="58" applyNumberFormat="1" applyFont="1" applyFill="1" applyBorder="1" applyAlignment="1" applyProtection="1">
      <alignment horizontal="center" vertical="top"/>
      <protection/>
    </xf>
    <xf numFmtId="175" fontId="11" fillId="0" borderId="12" xfId="58" applyNumberFormat="1" applyFont="1" applyFill="1" applyBorder="1" applyAlignment="1" applyProtection="1">
      <alignment horizontal="right" vertical="top"/>
      <protection/>
    </xf>
    <xf numFmtId="0" fontId="8" fillId="0" borderId="21" xfId="58" applyNumberFormat="1" applyFill="1" applyBorder="1" applyAlignment="1" applyProtection="1">
      <alignment vertical="top"/>
      <protection/>
    </xf>
    <xf numFmtId="0" fontId="8" fillId="0" borderId="21" xfId="58" applyNumberFormat="1" applyFont="1" applyFill="1" applyBorder="1" applyAlignment="1" applyProtection="1">
      <alignment horizontal="center" vertical="top"/>
      <protection/>
    </xf>
    <xf numFmtId="3" fontId="8" fillId="0" borderId="21" xfId="58" applyNumberFormat="1" applyFont="1" applyFill="1" applyBorder="1" applyAlignment="1" applyProtection="1">
      <alignment horizontal="center" vertical="top"/>
      <protection/>
    </xf>
    <xf numFmtId="42" fontId="8" fillId="0" borderId="21" xfId="58" applyNumberFormat="1" applyFont="1" applyFill="1" applyBorder="1" applyAlignment="1" applyProtection="1">
      <alignment horizontal="right" vertical="top"/>
      <protection/>
    </xf>
    <xf numFmtId="9" fontId="8" fillId="0" borderId="21" xfId="58" applyNumberFormat="1" applyFont="1" applyFill="1" applyBorder="1" applyAlignment="1" applyProtection="1">
      <alignment horizontal="center" vertical="top"/>
      <protection/>
    </xf>
    <xf numFmtId="0" fontId="8" fillId="0" borderId="21" xfId="58" applyNumberFormat="1" applyFont="1" applyFill="1" applyBorder="1" applyAlignment="1" applyProtection="1">
      <alignment horizontal="center" vertical="top"/>
      <protection/>
    </xf>
    <xf numFmtId="175" fontId="8" fillId="0" borderId="22" xfId="58" applyNumberFormat="1" applyFont="1" applyFill="1" applyBorder="1" applyAlignment="1" applyProtection="1">
      <alignment horizontal="right" vertical="top"/>
      <protection/>
    </xf>
    <xf numFmtId="175" fontId="8" fillId="0" borderId="12" xfId="58" applyNumberFormat="1" applyFont="1" applyFill="1" applyBorder="1" applyAlignment="1" applyProtection="1">
      <alignment horizontal="right" vertical="top"/>
      <protection/>
    </xf>
    <xf numFmtId="0" fontId="8" fillId="0" borderId="21" xfId="58" applyNumberFormat="1" applyFill="1" applyBorder="1" applyAlignment="1" applyProtection="1">
      <alignment horizontal="center" vertical="top"/>
      <protection/>
    </xf>
    <xf numFmtId="176" fontId="8" fillId="0" borderId="21" xfId="58" applyNumberFormat="1" applyFill="1" applyBorder="1" applyAlignment="1" applyProtection="1">
      <alignment horizontal="right" vertical="top"/>
      <protection/>
    </xf>
    <xf numFmtId="175" fontId="11" fillId="0" borderId="22" xfId="58" applyNumberFormat="1" applyFont="1" applyFill="1" applyBorder="1" applyAlignment="1" applyProtection="1">
      <alignment horizontal="right" vertical="top"/>
      <protection/>
    </xf>
    <xf numFmtId="176" fontId="8" fillId="0" borderId="13" xfId="58" applyNumberFormat="1" applyFont="1" applyFill="1" applyBorder="1" applyAlignment="1" applyProtection="1">
      <alignment horizontal="right" vertical="top"/>
      <protection/>
    </xf>
    <xf numFmtId="0" fontId="9" fillId="0" borderId="21" xfId="58" applyNumberFormat="1" applyFont="1" applyFill="1" applyBorder="1" applyAlignment="1" applyProtection="1">
      <alignment vertical="top"/>
      <protection/>
    </xf>
    <xf numFmtId="0" fontId="9" fillId="0" borderId="21" xfId="58" applyNumberFormat="1" applyFont="1" applyFill="1" applyBorder="1" applyAlignment="1" applyProtection="1">
      <alignment horizontal="center" vertical="top"/>
      <protection/>
    </xf>
    <xf numFmtId="3" fontId="9" fillId="0" borderId="21" xfId="58" applyNumberFormat="1" applyFont="1" applyFill="1" applyBorder="1" applyAlignment="1" applyProtection="1">
      <alignment horizontal="center" vertical="top"/>
      <protection/>
    </xf>
    <xf numFmtId="42" fontId="9" fillId="0" borderId="21" xfId="58" applyNumberFormat="1" applyFont="1" applyFill="1" applyBorder="1" applyAlignment="1" applyProtection="1">
      <alignment horizontal="right" vertical="top"/>
      <protection/>
    </xf>
    <xf numFmtId="9" fontId="9" fillId="0" borderId="21" xfId="58" applyNumberFormat="1" applyFont="1" applyFill="1" applyBorder="1" applyAlignment="1" applyProtection="1">
      <alignment horizontal="center" vertical="top"/>
      <protection/>
    </xf>
    <xf numFmtId="175" fontId="9" fillId="0" borderId="22" xfId="58" applyNumberFormat="1" applyFont="1" applyFill="1" applyBorder="1" applyAlignment="1" applyProtection="1">
      <alignment horizontal="right" vertical="top"/>
      <protection/>
    </xf>
    <xf numFmtId="0" fontId="9" fillId="0" borderId="10" xfId="58" applyNumberFormat="1" applyFont="1" applyFill="1" applyBorder="1" applyAlignment="1" applyProtection="1">
      <alignment vertical="top"/>
      <protection/>
    </xf>
    <xf numFmtId="0" fontId="9" fillId="0" borderId="10" xfId="58" applyNumberFormat="1" applyFont="1" applyFill="1" applyBorder="1" applyAlignment="1" applyProtection="1">
      <alignment horizontal="center" vertical="top"/>
      <protection/>
    </xf>
    <xf numFmtId="3" fontId="9" fillId="0" borderId="10" xfId="58" applyNumberFormat="1" applyFont="1" applyFill="1" applyBorder="1" applyAlignment="1" applyProtection="1">
      <alignment horizontal="center" vertical="top"/>
      <protection/>
    </xf>
    <xf numFmtId="42" fontId="9" fillId="0" borderId="10" xfId="58" applyNumberFormat="1" applyFont="1" applyFill="1" applyBorder="1" applyAlignment="1" applyProtection="1">
      <alignment horizontal="right" vertical="top"/>
      <protection/>
    </xf>
    <xf numFmtId="9" fontId="9" fillId="0" borderId="10" xfId="58" applyNumberFormat="1" applyFont="1" applyFill="1" applyBorder="1" applyAlignment="1" applyProtection="1">
      <alignment horizontal="center" vertical="top"/>
      <protection/>
    </xf>
    <xf numFmtId="175" fontId="9" fillId="0" borderId="10" xfId="58" applyNumberFormat="1" applyFont="1" applyFill="1" applyBorder="1" applyAlignment="1" applyProtection="1">
      <alignment horizontal="right" vertical="top"/>
      <protection/>
    </xf>
    <xf numFmtId="4" fontId="10" fillId="33" borderId="10" xfId="58" applyNumberFormat="1" applyFont="1" applyFill="1" applyBorder="1" applyAlignment="1" applyProtection="1">
      <alignment vertical="top"/>
      <protection/>
    </xf>
    <xf numFmtId="173" fontId="12" fillId="0" borderId="10" xfId="55" applyNumberFormat="1" applyFont="1" applyFill="1" applyBorder="1" applyAlignment="1" applyProtection="1">
      <alignment horizontal="center" vertical="center"/>
      <protection/>
    </xf>
    <xf numFmtId="0" fontId="13" fillId="0" borderId="17" xfId="55" applyNumberFormat="1" applyFont="1" applyFill="1" applyBorder="1" applyAlignment="1" applyProtection="1">
      <alignment horizontal="center" vertical="center"/>
      <protection/>
    </xf>
    <xf numFmtId="172" fontId="12" fillId="0" borderId="23" xfId="55" applyNumberFormat="1" applyFont="1" applyFill="1" applyBorder="1" applyAlignment="1" applyProtection="1">
      <alignment horizontal="center" vertical="center"/>
      <protection/>
    </xf>
    <xf numFmtId="0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6" fillId="0" borderId="25" xfId="55" applyNumberFormat="1" applyFont="1" applyFill="1" applyBorder="1" applyAlignment="1" applyProtection="1">
      <alignment horizontal="center" vertical="center"/>
      <protection/>
    </xf>
    <xf numFmtId="0" fontId="7" fillId="0" borderId="26" xfId="55" applyNumberFormat="1" applyFont="1" applyFill="1" applyBorder="1" applyAlignment="1" applyProtection="1">
      <alignment horizontal="center" vertical="center"/>
      <protection/>
    </xf>
    <xf numFmtId="173" fontId="12" fillId="0" borderId="16" xfId="55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173" fontId="12" fillId="0" borderId="13" xfId="55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0" xfId="53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55" applyNumberFormat="1" applyFont="1" applyFill="1" applyBorder="1" applyAlignment="1" applyProtection="1">
      <alignment horizontal="center" vertical="center"/>
      <protection/>
    </xf>
    <xf numFmtId="172" fontId="15" fillId="0" borderId="10" xfId="55" applyNumberFormat="1" applyFont="1" applyFill="1" applyBorder="1" applyAlignment="1" applyProtection="1">
      <alignment horizontal="center" vertical="center" wrapText="1"/>
      <protection/>
    </xf>
    <xf numFmtId="172" fontId="18" fillId="0" borderId="30" xfId="55" applyNumberFormat="1" applyFont="1" applyFill="1" applyBorder="1" applyAlignment="1" applyProtection="1">
      <alignment horizontal="center" vertical="center" wrapText="1"/>
      <protection/>
    </xf>
    <xf numFmtId="172" fontId="18" fillId="0" borderId="31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10" borderId="10" xfId="55" applyNumberFormat="1" applyFont="1" applyFill="1" applyBorder="1" applyAlignment="1" applyProtection="1">
      <alignment horizontal="center" vertical="center"/>
      <protection/>
    </xf>
    <xf numFmtId="3" fontId="15" fillId="10" borderId="10" xfId="55" applyNumberFormat="1" applyFont="1" applyFill="1" applyBorder="1" applyAlignment="1" applyProtection="1">
      <alignment horizontal="center" vertical="center"/>
      <protection/>
    </xf>
    <xf numFmtId="0" fontId="15" fillId="10" borderId="10" xfId="55" applyNumberFormat="1" applyFont="1" applyFill="1" applyBorder="1" applyAlignment="1" applyProtection="1">
      <alignment horizontal="left" vertical="center"/>
      <protection/>
    </xf>
    <xf numFmtId="172" fontId="15" fillId="10" borderId="10" xfId="55" applyNumberFormat="1" applyFont="1" applyFill="1" applyBorder="1" applyAlignment="1" applyProtection="1">
      <alignment horizontal="center" vertical="center"/>
      <protection/>
    </xf>
    <xf numFmtId="173" fontId="15" fillId="10" borderId="10" xfId="55" applyNumberFormat="1" applyFont="1" applyFill="1" applyBorder="1" applyAlignment="1" applyProtection="1">
      <alignment horizontal="center" vertical="center"/>
      <protection/>
    </xf>
    <xf numFmtId="172" fontId="16" fillId="10" borderId="30" xfId="55" applyNumberFormat="1" applyFont="1" applyFill="1" applyBorder="1" applyAlignment="1" applyProtection="1">
      <alignment horizontal="center" vertical="center"/>
      <protection/>
    </xf>
    <xf numFmtId="172" fontId="16" fillId="10" borderId="31" xfId="55" applyNumberFormat="1" applyFont="1" applyFill="1" applyBorder="1" applyAlignment="1" applyProtection="1">
      <alignment horizontal="center" vertical="center"/>
      <protection/>
    </xf>
    <xf numFmtId="173" fontId="15" fillId="10" borderId="10" xfId="0" applyNumberFormat="1" applyFont="1" applyFill="1" applyBorder="1" applyAlignment="1" applyProtection="1">
      <alignment horizontal="center" vertical="center"/>
      <protection/>
    </xf>
    <xf numFmtId="0" fontId="15" fillId="13" borderId="10" xfId="55" applyNumberFormat="1" applyFont="1" applyFill="1" applyBorder="1" applyAlignment="1" applyProtection="1">
      <alignment horizontal="left" vertical="center"/>
      <protection/>
    </xf>
    <xf numFmtId="3" fontId="15" fillId="13" borderId="10" xfId="55" applyNumberFormat="1" applyFont="1" applyFill="1" applyBorder="1" applyAlignment="1" applyProtection="1">
      <alignment horizontal="center" vertical="center"/>
      <protection/>
    </xf>
    <xf numFmtId="0" fontId="15" fillId="13" borderId="10" xfId="55" applyNumberFormat="1" applyFont="1" applyFill="1" applyBorder="1" applyAlignment="1" applyProtection="1">
      <alignment horizontal="left" vertical="center" wrapText="1"/>
      <protection/>
    </xf>
    <xf numFmtId="172" fontId="15" fillId="13" borderId="10" xfId="55" applyNumberFormat="1" applyFont="1" applyFill="1" applyBorder="1" applyAlignment="1" applyProtection="1">
      <alignment horizontal="center" vertical="center"/>
      <protection/>
    </xf>
    <xf numFmtId="173" fontId="15" fillId="13" borderId="10" xfId="55" applyNumberFormat="1" applyFont="1" applyFill="1" applyBorder="1" applyAlignment="1" applyProtection="1">
      <alignment horizontal="center" vertical="center"/>
      <protection/>
    </xf>
    <xf numFmtId="172" fontId="16" fillId="13" borderId="32" xfId="55" applyNumberFormat="1" applyFont="1" applyFill="1" applyBorder="1" applyAlignment="1" applyProtection="1">
      <alignment horizontal="center" vertical="center"/>
      <protection/>
    </xf>
    <xf numFmtId="172" fontId="16" fillId="13" borderId="33" xfId="55" applyNumberFormat="1" applyFont="1" applyFill="1" applyBorder="1" applyAlignment="1" applyProtection="1">
      <alignment horizontal="center" vertical="center"/>
      <protection/>
    </xf>
    <xf numFmtId="173" fontId="15" fillId="13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55" applyNumberFormat="1" applyFont="1" applyFill="1" applyBorder="1" applyAlignment="1" applyProtection="1">
      <alignment horizontal="left" vertical="center"/>
      <protection/>
    </xf>
    <xf numFmtId="3" fontId="1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center" wrapText="1"/>
      <protection/>
    </xf>
    <xf numFmtId="172" fontId="14" fillId="0" borderId="10" xfId="55" applyNumberFormat="1" applyFont="1" applyFill="1" applyBorder="1" applyAlignment="1" applyProtection="1">
      <alignment horizontal="center" vertical="center"/>
      <protection/>
    </xf>
    <xf numFmtId="173" fontId="14" fillId="0" borderId="10" xfId="55" applyNumberFormat="1" applyFont="1" applyFill="1" applyBorder="1" applyAlignment="1" applyProtection="1">
      <alignment horizontal="center" vertical="center"/>
      <protection/>
    </xf>
    <xf numFmtId="172" fontId="14" fillId="0" borderId="34" xfId="55" applyNumberFormat="1" applyFont="1" applyFill="1" applyBorder="1" applyAlignment="1" applyProtection="1">
      <alignment horizontal="center" vertical="center"/>
      <protection/>
    </xf>
    <xf numFmtId="172" fontId="14" fillId="0" borderId="24" xfId="55" applyNumberFormat="1" applyFont="1" applyFill="1" applyBorder="1" applyAlignment="1" applyProtection="1">
      <alignment horizontal="center" vertical="center"/>
      <protection/>
    </xf>
    <xf numFmtId="173" fontId="14" fillId="0" borderId="10" xfId="0" applyNumberFormat="1" applyFont="1" applyFill="1" applyBorder="1" applyAlignment="1" applyProtection="1">
      <alignment horizontal="center" vertical="center"/>
      <protection/>
    </xf>
    <xf numFmtId="172" fontId="14" fillId="0" borderId="35" xfId="55" applyNumberFormat="1" applyFont="1" applyFill="1" applyBorder="1" applyAlignment="1" applyProtection="1">
      <alignment horizontal="center" vertical="center"/>
      <protection/>
    </xf>
    <xf numFmtId="172" fontId="14" fillId="0" borderId="36" xfId="55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173" fontId="15" fillId="0" borderId="10" xfId="0" applyNumberFormat="1" applyFont="1" applyFill="1" applyBorder="1" applyAlignment="1" applyProtection="1">
      <alignment horizontal="center" vertical="center"/>
      <protection/>
    </xf>
    <xf numFmtId="172" fontId="16" fillId="13" borderId="30" xfId="55" applyNumberFormat="1" applyFont="1" applyFill="1" applyBorder="1" applyAlignment="1" applyProtection="1">
      <alignment horizontal="center" vertical="center"/>
      <protection/>
    </xf>
    <xf numFmtId="172" fontId="16" fillId="13" borderId="37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center"/>
      <protection/>
    </xf>
    <xf numFmtId="173" fontId="14" fillId="13" borderId="10" xfId="0" applyNumberFormat="1" applyFont="1" applyFill="1" applyBorder="1" applyAlignment="1" applyProtection="1">
      <alignment horizontal="center" vertical="center"/>
      <protection/>
    </xf>
    <xf numFmtId="0" fontId="14" fillId="34" borderId="10" xfId="55" applyNumberFormat="1" applyFont="1" applyFill="1" applyBorder="1" applyAlignment="1" applyProtection="1">
      <alignment horizontal="left" vertical="center"/>
      <protection/>
    </xf>
    <xf numFmtId="0" fontId="14" fillId="34" borderId="10" xfId="55" applyNumberFormat="1" applyFont="1" applyFill="1" applyBorder="1" applyAlignment="1" applyProtection="1">
      <alignment horizontal="center" vertical="center"/>
      <protection/>
    </xf>
    <xf numFmtId="0" fontId="14" fillId="34" borderId="10" xfId="55" applyNumberFormat="1" applyFont="1" applyFill="1" applyBorder="1" applyAlignment="1" applyProtection="1">
      <alignment horizontal="left" vertical="center" wrapText="1"/>
      <protection/>
    </xf>
    <xf numFmtId="0" fontId="14" fillId="0" borderId="10" xfId="55" applyNumberFormat="1" applyFont="1" applyFill="1" applyBorder="1" applyAlignment="1" applyProtection="1">
      <alignment horizontal="center" vertical="center"/>
      <protection/>
    </xf>
    <xf numFmtId="172" fontId="15" fillId="35" borderId="10" xfId="55" applyNumberFormat="1" applyFont="1" applyFill="1" applyBorder="1" applyAlignment="1" applyProtection="1">
      <alignment horizontal="center" vertical="center"/>
      <protection/>
    </xf>
    <xf numFmtId="172" fontId="14" fillId="36" borderId="10" xfId="55" applyNumberFormat="1" applyFont="1" applyFill="1" applyBorder="1" applyAlignment="1" applyProtection="1">
      <alignment horizontal="center" vertical="center"/>
      <protection/>
    </xf>
    <xf numFmtId="172" fontId="15" fillId="13" borderId="38" xfId="55" applyNumberFormat="1" applyFont="1" applyFill="1" applyBorder="1" applyAlignment="1" applyProtection="1">
      <alignment horizontal="center" vertical="center"/>
      <protection/>
    </xf>
    <xf numFmtId="172" fontId="15" fillId="13" borderId="39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horizontal="left" vertical="center"/>
      <protection/>
    </xf>
    <xf numFmtId="3" fontId="15" fillId="35" borderId="10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horizontal="left" vertical="center" wrapText="1"/>
      <protection/>
    </xf>
    <xf numFmtId="49" fontId="14" fillId="36" borderId="10" xfId="55" applyNumberFormat="1" applyFont="1" applyFill="1" applyBorder="1" applyAlignment="1" applyProtection="1">
      <alignment horizontal="left" vertical="center"/>
      <protection/>
    </xf>
    <xf numFmtId="0" fontId="14" fillId="36" borderId="10" xfId="55" applyNumberFormat="1" applyFont="1" applyFill="1" applyBorder="1" applyAlignment="1" applyProtection="1">
      <alignment horizontal="center" vertical="center"/>
      <protection/>
    </xf>
    <xf numFmtId="0" fontId="14" fillId="36" borderId="10" xfId="55" applyNumberFormat="1" applyFont="1" applyFill="1" applyBorder="1" applyAlignment="1" applyProtection="1">
      <alignment horizontal="left" vertical="center" wrapText="1"/>
      <protection/>
    </xf>
    <xf numFmtId="0" fontId="15" fillId="35" borderId="10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vertical="center" wrapText="1"/>
      <protection/>
    </xf>
    <xf numFmtId="173" fontId="15" fillId="35" borderId="10" xfId="55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vertical="center" wrapText="1"/>
      <protection/>
    </xf>
    <xf numFmtId="0" fontId="14" fillId="0" borderId="10" xfId="55" applyNumberFormat="1" applyFont="1" applyFill="1" applyBorder="1" applyAlignment="1" applyProtection="1">
      <alignment vertical="top" wrapText="1"/>
      <protection/>
    </xf>
    <xf numFmtId="172" fontId="15" fillId="0" borderId="10" xfId="55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172" fontId="14" fillId="13" borderId="10" xfId="55" applyNumberFormat="1" applyFont="1" applyFill="1" applyBorder="1" applyAlignment="1" applyProtection="1">
      <alignment horizontal="center" vertical="center"/>
      <protection/>
    </xf>
    <xf numFmtId="172" fontId="15" fillId="13" borderId="30" xfId="55" applyNumberFormat="1" applyFont="1" applyFill="1" applyBorder="1" applyAlignment="1" applyProtection="1">
      <alignment horizontal="center" vertical="center"/>
      <protection/>
    </xf>
    <xf numFmtId="172" fontId="15" fillId="13" borderId="37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top" wrapText="1"/>
      <protection/>
    </xf>
    <xf numFmtId="172" fontId="14" fillId="0" borderId="40" xfId="55" applyNumberFormat="1" applyFont="1" applyFill="1" applyBorder="1" applyAlignment="1" applyProtection="1">
      <alignment horizontal="center" vertical="center"/>
      <protection/>
    </xf>
    <xf numFmtId="172" fontId="14" fillId="0" borderId="38" xfId="55" applyNumberFormat="1" applyFont="1" applyFill="1" applyBorder="1" applyAlignment="1" applyProtection="1">
      <alignment horizontal="center" vertical="center"/>
      <protection/>
    </xf>
    <xf numFmtId="172" fontId="14" fillId="0" borderId="39" xfId="55" applyNumberFormat="1" applyFont="1" applyFill="1" applyBorder="1" applyAlignment="1" applyProtection="1">
      <alignment horizontal="center" vertical="center"/>
      <protection/>
    </xf>
    <xf numFmtId="172" fontId="14" fillId="10" borderId="10" xfId="55" applyNumberFormat="1" applyFont="1" applyFill="1" applyBorder="1" applyAlignment="1" applyProtection="1">
      <alignment horizontal="center" vertical="center"/>
      <protection/>
    </xf>
    <xf numFmtId="172" fontId="15" fillId="10" borderId="30" xfId="55" applyNumberFormat="1" applyFont="1" applyFill="1" applyBorder="1" applyAlignment="1" applyProtection="1">
      <alignment horizontal="center" vertical="center"/>
      <protection/>
    </xf>
    <xf numFmtId="172" fontId="15" fillId="10" borderId="37" xfId="55" applyNumberFormat="1" applyFont="1" applyFill="1" applyBorder="1" applyAlignment="1" applyProtection="1">
      <alignment horizontal="center" vertical="center"/>
      <protection/>
    </xf>
    <xf numFmtId="172" fontId="15" fillId="13" borderId="32" xfId="55" applyNumberFormat="1" applyFont="1" applyFill="1" applyBorder="1" applyAlignment="1" applyProtection="1">
      <alignment horizontal="center" vertical="center"/>
      <protection/>
    </xf>
    <xf numFmtId="172" fontId="15" fillId="13" borderId="41" xfId="55" applyNumberFormat="1" applyFont="1" applyFill="1" applyBorder="1" applyAlignment="1" applyProtection="1">
      <alignment horizontal="center" vertical="center"/>
      <protection/>
    </xf>
    <xf numFmtId="172" fontId="15" fillId="0" borderId="40" xfId="55" applyNumberFormat="1" applyFont="1" applyFill="1" applyBorder="1" applyAlignment="1" applyProtection="1">
      <alignment horizontal="center" vertical="center"/>
      <protection/>
    </xf>
    <xf numFmtId="172" fontId="15" fillId="0" borderId="24" xfId="55" applyNumberFormat="1" applyFont="1" applyFill="1" applyBorder="1" applyAlignment="1" applyProtection="1">
      <alignment horizontal="center" vertical="center"/>
      <protection/>
    </xf>
    <xf numFmtId="172" fontId="15" fillId="0" borderId="38" xfId="55" applyNumberFormat="1" applyFont="1" applyFill="1" applyBorder="1" applyAlignment="1" applyProtection="1">
      <alignment horizontal="center" vertical="center"/>
      <protection/>
    </xf>
    <xf numFmtId="172" fontId="15" fillId="0" borderId="39" xfId="55" applyNumberFormat="1" applyFont="1" applyFill="1" applyBorder="1" applyAlignment="1" applyProtection="1">
      <alignment horizontal="center" vertical="center"/>
      <protection/>
    </xf>
    <xf numFmtId="172" fontId="14" fillId="35" borderId="10" xfId="55" applyNumberFormat="1" applyFont="1" applyFill="1" applyBorder="1" applyAlignment="1" applyProtection="1">
      <alignment horizontal="center" vertical="center"/>
      <protection/>
    </xf>
    <xf numFmtId="172" fontId="14" fillId="0" borderId="42" xfId="55" applyNumberFormat="1" applyFont="1" applyFill="1" applyBorder="1" applyAlignment="1" applyProtection="1">
      <alignment horizontal="center" vertical="center"/>
      <protection/>
    </xf>
    <xf numFmtId="172" fontId="14" fillId="0" borderId="43" xfId="55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Fill="1" applyBorder="1" applyAlignment="1" applyProtection="1">
      <alignment horizontal="left" vertical="center"/>
      <protection/>
    </xf>
    <xf numFmtId="3" fontId="15" fillId="0" borderId="10" xfId="55" applyNumberFormat="1" applyFont="1" applyFill="1" applyBorder="1" applyAlignment="1" applyProtection="1">
      <alignment horizontal="center" vertical="center"/>
      <protection/>
    </xf>
    <xf numFmtId="0" fontId="15" fillId="0" borderId="10" xfId="55" applyNumberFormat="1" applyFont="1" applyFill="1" applyBorder="1" applyAlignment="1" applyProtection="1">
      <alignment horizontal="left" vertical="center" wrapText="1"/>
      <protection/>
    </xf>
    <xf numFmtId="173" fontId="14" fillId="36" borderId="10" xfId="55" applyNumberFormat="1" applyFont="1" applyFill="1" applyBorder="1" applyAlignment="1" applyProtection="1">
      <alignment horizontal="center" vertical="center"/>
      <protection/>
    </xf>
    <xf numFmtId="172" fontId="14" fillId="36" borderId="40" xfId="55" applyNumberFormat="1" applyFont="1" applyFill="1" applyBorder="1" applyAlignment="1" applyProtection="1">
      <alignment horizontal="center" vertical="center"/>
      <protection/>
    </xf>
    <xf numFmtId="172" fontId="14" fillId="36" borderId="24" xfId="55" applyNumberFormat="1" applyFont="1" applyFill="1" applyBorder="1" applyAlignment="1" applyProtection="1">
      <alignment horizontal="center" vertical="center"/>
      <protection/>
    </xf>
    <xf numFmtId="172" fontId="15" fillId="36" borderId="44" xfId="55" applyNumberFormat="1" applyFont="1" applyFill="1" applyBorder="1" applyAlignment="1" applyProtection="1">
      <alignment horizontal="center" vertical="center"/>
      <protection/>
    </xf>
    <xf numFmtId="172" fontId="15" fillId="36" borderId="31" xfId="55" applyNumberFormat="1" applyFont="1" applyFill="1" applyBorder="1" applyAlignment="1" applyProtection="1">
      <alignment horizontal="center" vertical="center"/>
      <protection/>
    </xf>
    <xf numFmtId="172" fontId="14" fillId="36" borderId="38" xfId="55" applyNumberFormat="1" applyFont="1" applyFill="1" applyBorder="1" applyAlignment="1" applyProtection="1">
      <alignment horizontal="center" vertical="center"/>
      <protection/>
    </xf>
    <xf numFmtId="172" fontId="14" fillId="36" borderId="39" xfId="55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left" vertical="top" wrapText="1"/>
      <protection/>
    </xf>
    <xf numFmtId="173" fontId="12" fillId="0" borderId="40" xfId="55" applyNumberFormat="1" applyFont="1" applyFill="1" applyBorder="1" applyAlignment="1" applyProtection="1">
      <alignment horizontal="center" vertical="center"/>
      <protection/>
    </xf>
    <xf numFmtId="173" fontId="12" fillId="0" borderId="24" xfId="55" applyNumberFormat="1" applyFont="1" applyFill="1" applyBorder="1" applyAlignment="1" applyProtection="1">
      <alignment horizontal="center" vertical="center"/>
      <protection/>
    </xf>
    <xf numFmtId="172" fontId="15" fillId="0" borderId="30" xfId="55" applyNumberFormat="1" applyFont="1" applyFill="1" applyBorder="1" applyAlignment="1" applyProtection="1">
      <alignment horizontal="center" vertical="center"/>
      <protection/>
    </xf>
    <xf numFmtId="172" fontId="15" fillId="0" borderId="37" xfId="55" applyNumberFormat="1" applyFont="1" applyFill="1" applyBorder="1" applyAlignment="1" applyProtection="1">
      <alignment horizontal="center" vertical="center"/>
      <protection/>
    </xf>
    <xf numFmtId="173" fontId="15" fillId="0" borderId="10" xfId="55" applyNumberFormat="1" applyFont="1" applyFill="1" applyBorder="1" applyAlignment="1" applyProtection="1">
      <alignment horizontal="center" vertical="center"/>
      <protection/>
    </xf>
    <xf numFmtId="172" fontId="15" fillId="36" borderId="10" xfId="55" applyNumberFormat="1" applyFont="1" applyFill="1" applyBorder="1" applyAlignment="1" applyProtection="1">
      <alignment horizontal="center" vertical="center"/>
      <protection/>
    </xf>
    <xf numFmtId="172" fontId="15" fillId="36" borderId="40" xfId="55" applyNumberFormat="1" applyFont="1" applyFill="1" applyBorder="1" applyAlignment="1" applyProtection="1">
      <alignment horizontal="center" vertical="center"/>
      <protection/>
    </xf>
    <xf numFmtId="172" fontId="15" fillId="36" borderId="24" xfId="55" applyNumberFormat="1" applyFont="1" applyFill="1" applyBorder="1" applyAlignment="1" applyProtection="1">
      <alignment horizontal="center" vertical="center"/>
      <protection/>
    </xf>
    <xf numFmtId="172" fontId="14" fillId="0" borderId="45" xfId="55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5" fillId="0" borderId="10" xfId="55" applyNumberFormat="1" applyFont="1" applyFill="1" applyBorder="1" applyAlignment="1" applyProtection="1">
      <alignment horizontal="center" vertical="top"/>
      <protection/>
    </xf>
    <xf numFmtId="0" fontId="15" fillId="0" borderId="10" xfId="55" applyNumberFormat="1" applyFont="1" applyFill="1" applyBorder="1" applyAlignment="1" applyProtection="1">
      <alignment horizontal="left" vertical="top"/>
      <protection/>
    </xf>
    <xf numFmtId="173" fontId="12" fillId="0" borderId="30" xfId="55" applyNumberFormat="1" applyFont="1" applyFill="1" applyBorder="1" applyAlignment="1" applyProtection="1">
      <alignment horizontal="center" vertical="center"/>
      <protection/>
    </xf>
    <xf numFmtId="173" fontId="12" fillId="0" borderId="31" xfId="55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14" fillId="0" borderId="0" xfId="54" applyNumberFormat="1" applyFont="1" applyFill="1" applyBorder="1" applyAlignment="1" applyProtection="1">
      <alignment horizontal="right" vertical="top"/>
      <protection locked="0"/>
    </xf>
    <xf numFmtId="0" fontId="14" fillId="0" borderId="10" xfId="56" applyNumberFormat="1" applyFont="1" applyFill="1" applyBorder="1" applyAlignment="1" applyProtection="1">
      <alignment horizontal="left" vertical="top" wrapText="1"/>
      <protection/>
    </xf>
    <xf numFmtId="0" fontId="14" fillId="0" borderId="10" xfId="56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73" fontId="18" fillId="0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173" fontId="21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56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56" applyNumberFormat="1" applyFont="1" applyFill="1" applyBorder="1" applyAlignment="1" applyProtection="1">
      <alignment horizontal="center" vertical="top"/>
      <protection locked="0"/>
    </xf>
    <xf numFmtId="172" fontId="15" fillId="0" borderId="10" xfId="56" applyNumberFormat="1" applyFont="1" applyFill="1" applyBorder="1" applyAlignment="1" applyProtection="1">
      <alignment horizontal="center" vertical="top" wrapText="1"/>
      <protection locked="0"/>
    </xf>
    <xf numFmtId="172" fontId="18" fillId="0" borderId="30" xfId="56" applyNumberFormat="1" applyFont="1" applyFill="1" applyBorder="1" applyAlignment="1" applyProtection="1">
      <alignment horizontal="center" vertical="top" wrapText="1"/>
      <protection locked="0"/>
    </xf>
    <xf numFmtId="172" fontId="18" fillId="0" borderId="31" xfId="56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15" fillId="0" borderId="10" xfId="56" applyNumberFormat="1" applyFont="1" applyFill="1" applyBorder="1" applyAlignment="1" applyProtection="1">
      <alignment horizontal="center" vertical="top" wrapText="1"/>
      <protection/>
    </xf>
    <xf numFmtId="3" fontId="16" fillId="0" borderId="10" xfId="56" applyNumberFormat="1" applyFont="1" applyFill="1" applyBorder="1" applyAlignment="1" applyProtection="1">
      <alignment horizontal="center" vertical="top"/>
      <protection locked="0"/>
    </xf>
    <xf numFmtId="0" fontId="16" fillId="0" borderId="10" xfId="56" applyNumberFormat="1" applyFont="1" applyFill="1" applyBorder="1" applyAlignment="1" applyProtection="1">
      <alignment horizontal="left" vertical="top"/>
      <protection locked="0"/>
    </xf>
    <xf numFmtId="172" fontId="15" fillId="0" borderId="10" xfId="56" applyNumberFormat="1" applyFont="1" applyFill="1" applyBorder="1" applyAlignment="1" applyProtection="1">
      <alignment horizontal="center" vertical="top"/>
      <protection locked="0"/>
    </xf>
    <xf numFmtId="173" fontId="15" fillId="0" borderId="10" xfId="56" applyNumberFormat="1" applyFont="1" applyFill="1" applyBorder="1" applyAlignment="1" applyProtection="1">
      <alignment horizontal="center" vertical="top"/>
      <protection locked="0"/>
    </xf>
    <xf numFmtId="172" fontId="16" fillId="10" borderId="30" xfId="56" applyNumberFormat="1" applyFont="1" applyFill="1" applyBorder="1" applyAlignment="1" applyProtection="1">
      <alignment horizontal="center" vertical="top"/>
      <protection locked="0"/>
    </xf>
    <xf numFmtId="172" fontId="16" fillId="10" borderId="31" xfId="56" applyNumberFormat="1" applyFont="1" applyFill="1" applyBorder="1" applyAlignment="1" applyProtection="1">
      <alignment horizontal="center" vertical="top"/>
      <protection locked="0"/>
    </xf>
    <xf numFmtId="173" fontId="15" fillId="10" borderId="10" xfId="0" applyNumberFormat="1" applyFont="1" applyFill="1" applyBorder="1" applyAlignment="1" applyProtection="1">
      <alignment horizontal="center" vertical="top"/>
      <protection locked="0"/>
    </xf>
    <xf numFmtId="173" fontId="15" fillId="10" borderId="10" xfId="56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6" fillId="0" borderId="46" xfId="0" applyFont="1" applyBorder="1" applyAlignment="1">
      <alignment horizontal="center" vertical="top" wrapText="1"/>
    </xf>
    <xf numFmtId="0" fontId="16" fillId="0" borderId="47" xfId="0" applyFont="1" applyBorder="1" applyAlignment="1">
      <alignment vertical="top" wrapText="1"/>
    </xf>
    <xf numFmtId="172" fontId="16" fillId="13" borderId="32" xfId="56" applyNumberFormat="1" applyFont="1" applyFill="1" applyBorder="1" applyAlignment="1" applyProtection="1">
      <alignment horizontal="center" vertical="top"/>
      <protection locked="0"/>
    </xf>
    <xf numFmtId="172" fontId="16" fillId="13" borderId="33" xfId="56" applyNumberFormat="1" applyFont="1" applyFill="1" applyBorder="1" applyAlignment="1" applyProtection="1">
      <alignment horizontal="center" vertical="top"/>
      <protection locked="0"/>
    </xf>
    <xf numFmtId="173" fontId="15" fillId="13" borderId="10" xfId="0" applyNumberFormat="1" applyFont="1" applyFill="1" applyBorder="1" applyAlignment="1" applyProtection="1">
      <alignment horizontal="center" vertical="top"/>
      <protection locked="0"/>
    </xf>
    <xf numFmtId="173" fontId="15" fillId="13" borderId="10" xfId="56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14" fillId="0" borderId="10" xfId="56" applyNumberFormat="1" applyFont="1" applyFill="1" applyBorder="1" applyAlignment="1" applyProtection="1">
      <alignment horizontal="center" vertical="top"/>
      <protection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172" fontId="14" fillId="0" borderId="10" xfId="56" applyNumberFormat="1" applyFont="1" applyFill="1" applyBorder="1" applyAlignment="1" applyProtection="1">
      <alignment horizontal="center" vertical="top"/>
      <protection/>
    </xf>
    <xf numFmtId="173" fontId="14" fillId="0" borderId="10" xfId="56" applyNumberFormat="1" applyFont="1" applyFill="1" applyBorder="1" applyAlignment="1" applyProtection="1">
      <alignment horizontal="center" vertical="top"/>
      <protection/>
    </xf>
    <xf numFmtId="172" fontId="14" fillId="0" borderId="34" xfId="56" applyNumberFormat="1" applyFont="1" applyFill="1" applyBorder="1" applyAlignment="1" applyProtection="1">
      <alignment horizontal="center" vertical="top"/>
      <protection/>
    </xf>
    <xf numFmtId="172" fontId="14" fillId="0" borderId="24" xfId="56" applyNumberFormat="1" applyFont="1" applyFill="1" applyBorder="1" applyAlignment="1" applyProtection="1">
      <alignment horizontal="center" vertical="top"/>
      <protection/>
    </xf>
    <xf numFmtId="173" fontId="14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48" xfId="0" applyFont="1" applyBorder="1" applyAlignment="1">
      <alignment horizontal="center" vertical="top" wrapText="1"/>
    </xf>
    <xf numFmtId="172" fontId="14" fillId="0" borderId="35" xfId="56" applyNumberFormat="1" applyFont="1" applyFill="1" applyBorder="1" applyAlignment="1" applyProtection="1">
      <alignment horizontal="center" vertical="top"/>
      <protection/>
    </xf>
    <xf numFmtId="172" fontId="14" fillId="0" borderId="36" xfId="56" applyNumberFormat="1" applyFont="1" applyFill="1" applyBorder="1" applyAlignment="1" applyProtection="1">
      <alignment horizontal="center" vertical="top"/>
      <protection/>
    </xf>
    <xf numFmtId="3" fontId="14" fillId="0" borderId="10" xfId="56" applyNumberFormat="1" applyFont="1" applyFill="1" applyBorder="1" applyAlignment="1" applyProtection="1">
      <alignment horizontal="center" vertical="top"/>
      <protection/>
    </xf>
    <xf numFmtId="173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horizontal="center" vertical="top"/>
      <protection/>
    </xf>
    <xf numFmtId="3" fontId="15" fillId="0" borderId="10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horizontal="left" vertical="top" wrapText="1"/>
      <protection/>
    </xf>
    <xf numFmtId="172" fontId="15" fillId="0" borderId="10" xfId="56" applyNumberFormat="1" applyFont="1" applyFill="1" applyBorder="1" applyAlignment="1" applyProtection="1">
      <alignment horizontal="center" vertical="top"/>
      <protection/>
    </xf>
    <xf numFmtId="173" fontId="15" fillId="0" borderId="10" xfId="56" applyNumberFormat="1" applyFont="1" applyFill="1" applyBorder="1" applyAlignment="1" applyProtection="1">
      <alignment horizontal="center" vertical="top"/>
      <protection/>
    </xf>
    <xf numFmtId="172" fontId="16" fillId="13" borderId="30" xfId="56" applyNumberFormat="1" applyFont="1" applyFill="1" applyBorder="1" applyAlignment="1" applyProtection="1">
      <alignment horizontal="center" vertical="top"/>
      <protection/>
    </xf>
    <xf numFmtId="172" fontId="16" fillId="13" borderId="37" xfId="56" applyNumberFormat="1" applyFont="1" applyFill="1" applyBorder="1" applyAlignment="1" applyProtection="1">
      <alignment horizontal="center" vertical="top"/>
      <protection/>
    </xf>
    <xf numFmtId="173" fontId="14" fillId="13" borderId="10" xfId="0" applyNumberFormat="1" applyFont="1" applyFill="1" applyBorder="1" applyAlignment="1" applyProtection="1">
      <alignment horizontal="center" vertical="top"/>
      <protection/>
    </xf>
    <xf numFmtId="0" fontId="14" fillId="0" borderId="10" xfId="56" applyNumberFormat="1" applyFont="1" applyFill="1" applyBorder="1" applyAlignment="1" applyProtection="1">
      <alignment horizontal="center" vertical="top"/>
      <protection/>
    </xf>
    <xf numFmtId="172" fontId="15" fillId="13" borderId="38" xfId="56" applyNumberFormat="1" applyFont="1" applyFill="1" applyBorder="1" applyAlignment="1" applyProtection="1">
      <alignment horizontal="center" vertical="top"/>
      <protection/>
    </xf>
    <xf numFmtId="172" fontId="15" fillId="13" borderId="39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vertical="top" wrapText="1"/>
      <protection/>
    </xf>
    <xf numFmtId="173" fontId="15" fillId="35" borderId="10" xfId="56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72" fontId="15" fillId="13" borderId="30" xfId="56" applyNumberFormat="1" applyFont="1" applyFill="1" applyBorder="1" applyAlignment="1" applyProtection="1">
      <alignment horizontal="center" vertical="top"/>
      <protection/>
    </xf>
    <xf numFmtId="172" fontId="15" fillId="13" borderId="37" xfId="56" applyNumberFormat="1" applyFont="1" applyFill="1" applyBorder="1" applyAlignment="1" applyProtection="1">
      <alignment horizontal="center" vertical="top"/>
      <protection/>
    </xf>
    <xf numFmtId="173" fontId="15" fillId="13" borderId="10" xfId="0" applyNumberFormat="1" applyFont="1" applyFill="1" applyBorder="1" applyAlignment="1" applyProtection="1">
      <alignment horizontal="center" vertical="top"/>
      <protection/>
    </xf>
    <xf numFmtId="172" fontId="14" fillId="0" borderId="40" xfId="56" applyNumberFormat="1" applyFont="1" applyFill="1" applyBorder="1" applyAlignment="1" applyProtection="1">
      <alignment horizontal="center" vertical="top"/>
      <protection/>
    </xf>
    <xf numFmtId="172" fontId="14" fillId="0" borderId="38" xfId="56" applyNumberFormat="1" applyFont="1" applyFill="1" applyBorder="1" applyAlignment="1" applyProtection="1">
      <alignment horizontal="center" vertical="top"/>
      <protection/>
    </xf>
    <xf numFmtId="172" fontId="14" fillId="0" borderId="39" xfId="56" applyNumberFormat="1" applyFont="1" applyFill="1" applyBorder="1" applyAlignment="1" applyProtection="1">
      <alignment horizontal="center" vertical="top"/>
      <protection/>
    </xf>
    <xf numFmtId="173" fontId="4" fillId="0" borderId="0" xfId="0" applyNumberFormat="1" applyFont="1" applyFill="1" applyBorder="1" applyAlignment="1" applyProtection="1">
      <alignment vertical="top"/>
      <protection/>
    </xf>
    <xf numFmtId="172" fontId="14" fillId="0" borderId="0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horizontal="left" vertical="top"/>
      <protection/>
    </xf>
    <xf numFmtId="172" fontId="15" fillId="10" borderId="30" xfId="56" applyNumberFormat="1" applyFont="1" applyFill="1" applyBorder="1" applyAlignment="1" applyProtection="1">
      <alignment horizontal="center" vertical="top"/>
      <protection/>
    </xf>
    <xf numFmtId="172" fontId="15" fillId="10" borderId="37" xfId="56" applyNumberFormat="1" applyFont="1" applyFill="1" applyBorder="1" applyAlignment="1" applyProtection="1">
      <alignment horizontal="center" vertical="top"/>
      <protection/>
    </xf>
    <xf numFmtId="173" fontId="15" fillId="10" borderId="10" xfId="0" applyNumberFormat="1" applyFont="1" applyFill="1" applyBorder="1" applyAlignment="1" applyProtection="1">
      <alignment horizontal="center" vertical="top"/>
      <protection/>
    </xf>
    <xf numFmtId="172" fontId="15" fillId="13" borderId="32" xfId="56" applyNumberFormat="1" applyFont="1" applyFill="1" applyBorder="1" applyAlignment="1" applyProtection="1">
      <alignment horizontal="center" vertical="top"/>
      <protection/>
    </xf>
    <xf numFmtId="172" fontId="15" fillId="13" borderId="41" xfId="56" applyNumberFormat="1" applyFont="1" applyFill="1" applyBorder="1" applyAlignment="1" applyProtection="1">
      <alignment horizontal="center" vertical="top"/>
      <protection/>
    </xf>
    <xf numFmtId="172" fontId="15" fillId="0" borderId="40" xfId="56" applyNumberFormat="1" applyFont="1" applyFill="1" applyBorder="1" applyAlignment="1" applyProtection="1">
      <alignment horizontal="center" vertical="top"/>
      <protection/>
    </xf>
    <xf numFmtId="172" fontId="15" fillId="0" borderId="24" xfId="56" applyNumberFormat="1" applyFont="1" applyFill="1" applyBorder="1" applyAlignment="1" applyProtection="1">
      <alignment horizontal="center" vertical="top"/>
      <protection/>
    </xf>
    <xf numFmtId="172" fontId="15" fillId="0" borderId="38" xfId="56" applyNumberFormat="1" applyFont="1" applyFill="1" applyBorder="1" applyAlignment="1" applyProtection="1">
      <alignment horizontal="center" vertical="top"/>
      <protection/>
    </xf>
    <xf numFmtId="172" fontId="15" fillId="0" borderId="39" xfId="56" applyNumberFormat="1" applyFont="1" applyFill="1" applyBorder="1" applyAlignment="1" applyProtection="1">
      <alignment horizontal="center" vertical="top"/>
      <protection/>
    </xf>
    <xf numFmtId="172" fontId="14" fillId="0" borderId="42" xfId="56" applyNumberFormat="1" applyFont="1" applyFill="1" applyBorder="1" applyAlignment="1" applyProtection="1">
      <alignment horizontal="center" vertical="top"/>
      <protection/>
    </xf>
    <xf numFmtId="172" fontId="14" fillId="0" borderId="43" xfId="56" applyNumberFormat="1" applyFont="1" applyFill="1" applyBorder="1" applyAlignment="1" applyProtection="1">
      <alignment horizontal="center" vertical="top"/>
      <protection/>
    </xf>
    <xf numFmtId="172" fontId="14" fillId="0" borderId="49" xfId="56" applyNumberFormat="1" applyFont="1" applyFill="1" applyBorder="1" applyAlignment="1" applyProtection="1">
      <alignment horizontal="center" vertical="top"/>
      <protection/>
    </xf>
    <xf numFmtId="172" fontId="14" fillId="0" borderId="29" xfId="56" applyNumberFormat="1" applyFont="1" applyFill="1" applyBorder="1" applyAlignment="1" applyProtection="1">
      <alignment horizontal="center" vertical="top"/>
      <protection/>
    </xf>
    <xf numFmtId="172" fontId="14" fillId="36" borderId="40" xfId="56" applyNumberFormat="1" applyFont="1" applyFill="1" applyBorder="1" applyAlignment="1" applyProtection="1">
      <alignment horizontal="center" vertical="top"/>
      <protection/>
    </xf>
    <xf numFmtId="172" fontId="14" fillId="36" borderId="24" xfId="56" applyNumberFormat="1" applyFont="1" applyFill="1" applyBorder="1" applyAlignment="1" applyProtection="1">
      <alignment horizontal="center" vertical="top"/>
      <protection/>
    </xf>
    <xf numFmtId="173" fontId="14" fillId="36" borderId="10" xfId="56" applyNumberFormat="1" applyFont="1" applyFill="1" applyBorder="1" applyAlignment="1" applyProtection="1">
      <alignment horizontal="center" vertical="top"/>
      <protection/>
    </xf>
    <xf numFmtId="172" fontId="14" fillId="36" borderId="38" xfId="56" applyNumberFormat="1" applyFont="1" applyFill="1" applyBorder="1" applyAlignment="1" applyProtection="1">
      <alignment horizontal="center" vertical="top"/>
      <protection/>
    </xf>
    <xf numFmtId="172" fontId="14" fillId="36" borderId="39" xfId="56" applyNumberFormat="1" applyFont="1" applyFill="1" applyBorder="1" applyAlignment="1" applyProtection="1">
      <alignment horizontal="center" vertical="top"/>
      <protection/>
    </xf>
    <xf numFmtId="173" fontId="12" fillId="0" borderId="40" xfId="56" applyNumberFormat="1" applyFont="1" applyFill="1" applyBorder="1" applyAlignment="1" applyProtection="1">
      <alignment horizontal="center" vertical="top"/>
      <protection/>
    </xf>
    <xf numFmtId="173" fontId="12" fillId="0" borderId="24" xfId="56" applyNumberFormat="1" applyFont="1" applyFill="1" applyBorder="1" applyAlignment="1" applyProtection="1">
      <alignment horizontal="center" vertical="top"/>
      <protection/>
    </xf>
    <xf numFmtId="172" fontId="15" fillId="0" borderId="30" xfId="56" applyNumberFormat="1" applyFont="1" applyFill="1" applyBorder="1" applyAlignment="1" applyProtection="1">
      <alignment horizontal="center" vertical="top"/>
      <protection/>
    </xf>
    <xf numFmtId="172" fontId="15" fillId="0" borderId="37" xfId="56" applyNumberFormat="1" applyFont="1" applyFill="1" applyBorder="1" applyAlignment="1" applyProtection="1">
      <alignment horizontal="center" vertical="top"/>
      <protection/>
    </xf>
    <xf numFmtId="172" fontId="15" fillId="0" borderId="0" xfId="56" applyNumberFormat="1" applyFont="1" applyFill="1" applyBorder="1" applyAlignment="1" applyProtection="1">
      <alignment horizontal="center" vertical="top"/>
      <protection/>
    </xf>
    <xf numFmtId="172" fontId="15" fillId="0" borderId="29" xfId="56" applyNumberFormat="1" applyFont="1" applyFill="1" applyBorder="1" applyAlignment="1" applyProtection="1">
      <alignment horizontal="center" vertical="top"/>
      <protection/>
    </xf>
    <xf numFmtId="172" fontId="14" fillId="0" borderId="45" xfId="56" applyNumberFormat="1" applyFont="1" applyFill="1" applyBorder="1" applyAlignment="1" applyProtection="1">
      <alignment horizontal="center" vertical="top"/>
      <protection/>
    </xf>
    <xf numFmtId="173" fontId="12" fillId="0" borderId="30" xfId="56" applyNumberFormat="1" applyFont="1" applyFill="1" applyBorder="1" applyAlignment="1" applyProtection="1">
      <alignment horizontal="center" vertical="top"/>
      <protection/>
    </xf>
    <xf numFmtId="173" fontId="12" fillId="0" borderId="31" xfId="56" applyNumberFormat="1" applyFont="1" applyFill="1" applyBorder="1" applyAlignment="1" applyProtection="1">
      <alignment horizontal="center" vertical="top"/>
      <protection/>
    </xf>
    <xf numFmtId="0" fontId="14" fillId="0" borderId="50" xfId="0" applyFont="1" applyBorder="1" applyAlignment="1">
      <alignment vertical="top" wrapText="1"/>
    </xf>
    <xf numFmtId="0" fontId="8" fillId="0" borderId="0" xfId="58" applyNumberFormat="1" applyFill="1" applyBorder="1" applyAlignment="1" applyProtection="1">
      <alignment horizontal="center" vertical="top"/>
      <protection/>
    </xf>
    <xf numFmtId="0" fontId="8" fillId="0" borderId="0" xfId="58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0" borderId="39" xfId="56" applyNumberFormat="1" applyFont="1" applyFill="1" applyBorder="1" applyAlignment="1" applyProtection="1">
      <alignment horizontal="left" vertical="top"/>
      <protection/>
    </xf>
    <xf numFmtId="0" fontId="15" fillId="0" borderId="35" xfId="56" applyNumberFormat="1" applyFont="1" applyFill="1" applyBorder="1" applyAlignment="1" applyProtection="1">
      <alignment horizontal="left" vertical="top"/>
      <protection/>
    </xf>
    <xf numFmtId="0" fontId="15" fillId="0" borderId="45" xfId="56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45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1" fillId="0" borderId="51" xfId="0" applyNumberFormat="1" applyFont="1" applyFill="1" applyBorder="1" applyAlignment="1" applyProtection="1">
      <alignment horizontal="right" vertical="top"/>
      <protection/>
    </xf>
    <xf numFmtId="0" fontId="18" fillId="0" borderId="39" xfId="0" applyNumberFormat="1" applyFont="1" applyFill="1" applyBorder="1" applyAlignment="1" applyProtection="1">
      <alignment vertical="center" wrapText="1"/>
      <protection/>
    </xf>
    <xf numFmtId="0" fontId="18" fillId="0" borderId="45" xfId="0" applyNumberFormat="1" applyFont="1" applyFill="1" applyBorder="1" applyAlignment="1" applyProtection="1">
      <alignment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0\&#1087;&#1088;&#1086;&#1077;&#1082;&#1090;%20%202012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4">
        <row r="79">
          <cell r="I79">
            <v>20086.600000000002</v>
          </cell>
          <cell r="J79">
            <v>30141.100000000002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zoomScalePageLayoutView="0" workbookViewId="0" topLeftCell="A1">
      <selection activeCell="C17" sqref="C17"/>
    </sheetView>
  </sheetViews>
  <sheetFormatPr defaultColWidth="8.7109375" defaultRowHeight="12.75"/>
  <cols>
    <col min="1" max="1" width="17.00390625" style="10" customWidth="1"/>
    <col min="2" max="2" width="10.140625" style="10" customWidth="1"/>
    <col min="3" max="3" width="10.140625" style="10" bestFit="1" customWidth="1"/>
    <col min="4" max="4" width="9.140625" style="12" bestFit="1" customWidth="1"/>
    <col min="5" max="5" width="5.140625" style="11" bestFit="1" customWidth="1"/>
    <col min="6" max="6" width="6.8515625" style="11" bestFit="1" customWidth="1"/>
    <col min="7" max="7" width="8.57421875" style="10" customWidth="1"/>
    <col min="8" max="8" width="15.7109375" style="9" customWidth="1"/>
    <col min="9" max="9" width="13.140625" style="8" bestFit="1" customWidth="1"/>
    <col min="10" max="10" width="13.57421875" style="8" bestFit="1" customWidth="1"/>
    <col min="11" max="16384" width="8.7109375" style="8" customWidth="1"/>
  </cols>
  <sheetData>
    <row r="1" spans="1:8" ht="12.75">
      <c r="A1" s="27" t="s">
        <v>93</v>
      </c>
      <c r="F1" s="342"/>
      <c r="G1" s="343"/>
      <c r="H1" s="343"/>
    </row>
    <row r="2" spans="1:8" ht="13.5" thickBot="1">
      <c r="A2" s="27"/>
      <c r="F2" s="71"/>
      <c r="G2" s="26"/>
      <c r="H2" s="26"/>
    </row>
    <row r="3" spans="1:8" ht="13.5" thickBot="1">
      <c r="A3" s="68" t="s">
        <v>83</v>
      </c>
      <c r="B3" s="68" t="s">
        <v>82</v>
      </c>
      <c r="C3" s="68" t="s">
        <v>81</v>
      </c>
      <c r="D3" s="70" t="s">
        <v>80</v>
      </c>
      <c r="E3" s="69" t="s">
        <v>79</v>
      </c>
      <c r="F3" s="69" t="s">
        <v>78</v>
      </c>
      <c r="G3" s="68" t="s">
        <v>77</v>
      </c>
      <c r="H3" s="67" t="s">
        <v>49</v>
      </c>
    </row>
    <row r="4" spans="1:9" ht="12.75">
      <c r="A4" s="66" t="s">
        <v>85</v>
      </c>
      <c r="B4" s="54">
        <v>1</v>
      </c>
      <c r="C4" s="54">
        <v>24</v>
      </c>
      <c r="D4" s="56">
        <v>870</v>
      </c>
      <c r="E4" s="55"/>
      <c r="F4" s="55">
        <v>0.1</v>
      </c>
      <c r="G4" s="54">
        <v>12</v>
      </c>
      <c r="H4" s="53">
        <f>B4*(2+E4+F4)*(C4*D4)*G4</f>
        <v>526176</v>
      </c>
      <c r="I4" s="13"/>
    </row>
    <row r="5" spans="1:10" ht="12.75">
      <c r="A5" s="65" t="s">
        <v>85</v>
      </c>
      <c r="B5" s="52"/>
      <c r="C5" s="49"/>
      <c r="D5" s="51">
        <v>0.262</v>
      </c>
      <c r="E5" s="30"/>
      <c r="F5" s="30"/>
      <c r="G5" s="17">
        <v>12</v>
      </c>
      <c r="H5" s="50">
        <f>H4*D5</f>
        <v>137858.112</v>
      </c>
      <c r="I5" s="13"/>
      <c r="J5" s="15">
        <f>H4+H5</f>
        <v>664034.112</v>
      </c>
    </row>
    <row r="6" spans="1:10" ht="12.75">
      <c r="A6" s="25" t="s">
        <v>84</v>
      </c>
      <c r="B6" s="17">
        <v>1</v>
      </c>
      <c r="C6" s="49">
        <v>18</v>
      </c>
      <c r="D6" s="19">
        <v>870</v>
      </c>
      <c r="E6" s="30">
        <v>0.1</v>
      </c>
      <c r="F6" s="30">
        <v>0.1</v>
      </c>
      <c r="G6" s="17">
        <v>12</v>
      </c>
      <c r="H6" s="47">
        <f>B6*(2+E6+F6)*(C6*D6)*G6</f>
        <v>413424</v>
      </c>
      <c r="I6" s="13"/>
      <c r="J6" s="13"/>
    </row>
    <row r="7" spans="1:10" ht="12.75">
      <c r="A7" s="20" t="s">
        <v>90</v>
      </c>
      <c r="B7" s="17">
        <v>1</v>
      </c>
      <c r="C7" s="49">
        <v>18</v>
      </c>
      <c r="D7" s="19">
        <v>870</v>
      </c>
      <c r="E7" s="30">
        <v>0.1</v>
      </c>
      <c r="F7" s="30">
        <v>0.1</v>
      </c>
      <c r="G7" s="17">
        <v>12</v>
      </c>
      <c r="H7" s="47">
        <f>B7*(2+E7+F7)*(C7*D7)*G7</f>
        <v>413424</v>
      </c>
      <c r="I7" s="13"/>
      <c r="J7" s="13"/>
    </row>
    <row r="8" spans="1:9" ht="12.75">
      <c r="A8" s="43" t="s">
        <v>70</v>
      </c>
      <c r="B8" s="39">
        <v>1</v>
      </c>
      <c r="C8" s="42">
        <v>12</v>
      </c>
      <c r="D8" s="19">
        <v>870</v>
      </c>
      <c r="E8" s="40"/>
      <c r="F8" s="40">
        <v>0.1</v>
      </c>
      <c r="G8" s="17">
        <v>12</v>
      </c>
      <c r="H8" s="47">
        <f>B8*(2+E8+F8)*(C8*D8)*G8</f>
        <v>263088</v>
      </c>
      <c r="I8" s="13"/>
    </row>
    <row r="9" spans="1:10" ht="12.75">
      <c r="A9" s="20" t="s">
        <v>91</v>
      </c>
      <c r="B9" s="17">
        <f>SUM(B6:B8)</f>
        <v>3</v>
      </c>
      <c r="C9" s="49"/>
      <c r="D9" s="19"/>
      <c r="E9" s="30"/>
      <c r="F9" s="30"/>
      <c r="G9" s="17"/>
      <c r="H9" s="47">
        <f>SUM(H6:H8)</f>
        <v>1089936</v>
      </c>
      <c r="I9" s="13"/>
      <c r="J9" s="13"/>
    </row>
    <row r="10" spans="1:10" ht="13.5" thickBot="1">
      <c r="A10" s="20" t="s">
        <v>91</v>
      </c>
      <c r="B10" s="37"/>
      <c r="C10" s="36"/>
      <c r="D10" s="35">
        <v>0.262</v>
      </c>
      <c r="E10" s="34"/>
      <c r="F10" s="34"/>
      <c r="G10" s="33"/>
      <c r="H10" s="32">
        <f>H9*D10</f>
        <v>285563.232</v>
      </c>
      <c r="I10" s="13"/>
      <c r="J10" s="15">
        <f>H9+H10</f>
        <v>1375499.232</v>
      </c>
    </row>
    <row r="11" spans="1:10" ht="12.75">
      <c r="A11" s="25"/>
      <c r="B11" s="17"/>
      <c r="C11" s="49"/>
      <c r="D11" s="19"/>
      <c r="E11" s="30"/>
      <c r="F11" s="30"/>
      <c r="G11" s="17"/>
      <c r="H11" s="47"/>
      <c r="I11" s="13"/>
      <c r="J11" s="13"/>
    </row>
    <row r="12" spans="1:10" ht="13.5" thickBot="1">
      <c r="A12" s="64"/>
      <c r="B12" s="37"/>
      <c r="C12" s="36"/>
      <c r="D12" s="35"/>
      <c r="E12" s="34"/>
      <c r="F12" s="34"/>
      <c r="G12" s="33"/>
      <c r="H12" s="32"/>
      <c r="I12" s="13"/>
      <c r="J12" s="15"/>
    </row>
    <row r="13" spans="2:9" ht="13.5" thickBot="1">
      <c r="B13" s="26"/>
      <c r="C13" s="63"/>
      <c r="E13" s="31"/>
      <c r="F13" s="31"/>
      <c r="G13" s="26"/>
      <c r="I13" s="13"/>
    </row>
    <row r="14" spans="1:9" ht="13.5" thickBot="1">
      <c r="A14" s="62" t="s">
        <v>83</v>
      </c>
      <c r="B14" s="62" t="s">
        <v>82</v>
      </c>
      <c r="C14" s="62" t="s">
        <v>81</v>
      </c>
      <c r="D14" s="61" t="s">
        <v>80</v>
      </c>
      <c r="E14" s="60" t="s">
        <v>79</v>
      </c>
      <c r="F14" s="60" t="s">
        <v>78</v>
      </c>
      <c r="G14" s="59" t="s">
        <v>77</v>
      </c>
      <c r="H14" s="58" t="s">
        <v>49</v>
      </c>
      <c r="I14" s="13"/>
    </row>
    <row r="15" spans="1:9" ht="12.75">
      <c r="A15" s="57" t="s">
        <v>76</v>
      </c>
      <c r="B15" s="54">
        <v>1</v>
      </c>
      <c r="C15" s="54">
        <v>24</v>
      </c>
      <c r="D15" s="56">
        <v>870</v>
      </c>
      <c r="E15" s="55">
        <v>0.2</v>
      </c>
      <c r="F15" s="55">
        <v>0.25</v>
      </c>
      <c r="G15" s="54">
        <v>12</v>
      </c>
      <c r="H15" s="53">
        <f>(B15*2+E15+F15)*(C15*D15)*G15</f>
        <v>613872.0000000001</v>
      </c>
      <c r="I15" s="13"/>
    </row>
    <row r="16" spans="1:10" ht="15.75" thickBot="1">
      <c r="A16" s="37" t="s">
        <v>76</v>
      </c>
      <c r="B16" s="37"/>
      <c r="C16" s="36"/>
      <c r="D16" s="35">
        <v>0.262</v>
      </c>
      <c r="E16" s="34"/>
      <c r="F16" s="34"/>
      <c r="G16" s="33">
        <v>12</v>
      </c>
      <c r="H16" s="75">
        <f>H15*D16</f>
        <v>160834.46400000004</v>
      </c>
      <c r="I16" s="13"/>
      <c r="J16" s="15">
        <f>H16+H15</f>
        <v>774706.4640000002</v>
      </c>
    </row>
    <row r="17" spans="1:10" ht="15">
      <c r="A17" s="71"/>
      <c r="B17" s="84"/>
      <c r="C17" s="78"/>
      <c r="D17" s="85"/>
      <c r="E17" s="80"/>
      <c r="F17" s="80"/>
      <c r="G17" s="81"/>
      <c r="H17" s="86"/>
      <c r="I17" s="13"/>
      <c r="J17" s="15"/>
    </row>
    <row r="18" spans="1:9" ht="12.75">
      <c r="A18" s="27" t="s">
        <v>75</v>
      </c>
      <c r="B18" s="54">
        <v>1</v>
      </c>
      <c r="C18" s="74">
        <v>20</v>
      </c>
      <c r="D18" s="56">
        <v>870</v>
      </c>
      <c r="E18" s="55">
        <v>0.2</v>
      </c>
      <c r="F18" s="55">
        <v>0.15</v>
      </c>
      <c r="G18" s="54">
        <v>12</v>
      </c>
      <c r="H18" s="53">
        <f aca="true" t="shared" si="0" ref="H18:H24">B18*(2+E18+F18)*(C18*D18)*G18</f>
        <v>490680</v>
      </c>
      <c r="I18" s="13"/>
    </row>
    <row r="19" spans="1:9" ht="12.75">
      <c r="A19" s="25" t="s">
        <v>74</v>
      </c>
      <c r="B19" s="39">
        <v>1</v>
      </c>
      <c r="C19" s="42">
        <v>20</v>
      </c>
      <c r="D19" s="41">
        <v>870</v>
      </c>
      <c r="E19" s="40">
        <v>0.2</v>
      </c>
      <c r="F19" s="40">
        <v>0.1</v>
      </c>
      <c r="G19" s="17">
        <v>12</v>
      </c>
      <c r="H19" s="47">
        <f>B19*(2+E19+F19)*(C19*D19)*G19</f>
        <v>480240.0000000001</v>
      </c>
      <c r="I19" s="13"/>
    </row>
    <row r="20" spans="1:10" ht="12.75">
      <c r="A20" s="43" t="s">
        <v>73</v>
      </c>
      <c r="B20" s="39">
        <v>1</v>
      </c>
      <c r="C20" s="42">
        <v>18</v>
      </c>
      <c r="D20" s="41">
        <v>870</v>
      </c>
      <c r="E20" s="40">
        <v>0.2</v>
      </c>
      <c r="F20" s="40">
        <v>0.1</v>
      </c>
      <c r="G20" s="17">
        <v>12</v>
      </c>
      <c r="H20" s="47">
        <f t="shared" si="0"/>
        <v>432216.0000000001</v>
      </c>
      <c r="I20" s="13"/>
      <c r="J20" s="13"/>
    </row>
    <row r="21" spans="1:10" ht="12.75">
      <c r="A21" s="43" t="s">
        <v>73</v>
      </c>
      <c r="B21" s="39">
        <v>1</v>
      </c>
      <c r="C21" s="42">
        <v>18</v>
      </c>
      <c r="D21" s="41">
        <v>870</v>
      </c>
      <c r="E21" s="40">
        <v>0.2</v>
      </c>
      <c r="F21" s="40">
        <v>0.15</v>
      </c>
      <c r="G21" s="17">
        <v>12</v>
      </c>
      <c r="H21" s="47">
        <f>B21*(2+E21+F21)*(C21*D21)*G21</f>
        <v>441612</v>
      </c>
      <c r="I21" s="13"/>
      <c r="J21" s="13"/>
    </row>
    <row r="22" spans="1:9" ht="12.75">
      <c r="A22" s="43" t="s">
        <v>72</v>
      </c>
      <c r="B22" s="39">
        <v>1</v>
      </c>
      <c r="C22" s="42">
        <v>16</v>
      </c>
      <c r="D22" s="19">
        <v>870</v>
      </c>
      <c r="E22" s="48">
        <f>(10*0.5)%</f>
        <v>0.05</v>
      </c>
      <c r="F22" s="40">
        <v>0.15</v>
      </c>
      <c r="G22" s="17">
        <v>12</v>
      </c>
      <c r="H22" s="47">
        <f t="shared" si="0"/>
        <v>367487.99999999994</v>
      </c>
      <c r="I22" s="13"/>
    </row>
    <row r="23" spans="1:9" ht="12.75">
      <c r="A23" s="43" t="s">
        <v>72</v>
      </c>
      <c r="B23" s="39">
        <v>1</v>
      </c>
      <c r="C23" s="42">
        <v>16</v>
      </c>
      <c r="D23" s="19">
        <v>870</v>
      </c>
      <c r="E23" s="48">
        <v>0.2</v>
      </c>
      <c r="F23" s="40">
        <v>0.25</v>
      </c>
      <c r="G23" s="17">
        <v>12</v>
      </c>
      <c r="H23" s="47">
        <f>B23*(2+E23+F23)*(C23*D23)*G23</f>
        <v>409248</v>
      </c>
      <c r="I23" s="13"/>
    </row>
    <row r="24" spans="1:9" ht="12.75">
      <c r="A24" s="43" t="s">
        <v>71</v>
      </c>
      <c r="B24" s="39">
        <v>1</v>
      </c>
      <c r="C24" s="42">
        <v>14</v>
      </c>
      <c r="D24" s="19">
        <v>870</v>
      </c>
      <c r="E24" s="40"/>
      <c r="F24" s="40">
        <v>0.1</v>
      </c>
      <c r="G24" s="17">
        <v>12</v>
      </c>
      <c r="H24" s="47">
        <f t="shared" si="0"/>
        <v>306936</v>
      </c>
      <c r="I24" s="13"/>
    </row>
    <row r="25" spans="1:9" ht="12.75">
      <c r="A25" s="43" t="s">
        <v>69</v>
      </c>
      <c r="B25" s="46">
        <v>2</v>
      </c>
      <c r="C25" s="42"/>
      <c r="D25" s="45">
        <f>20760+9100</f>
        <v>29860</v>
      </c>
      <c r="E25" s="40"/>
      <c r="F25" s="40"/>
      <c r="G25" s="17">
        <v>12</v>
      </c>
      <c r="H25" s="44">
        <f>D25*G25</f>
        <v>358320</v>
      </c>
      <c r="I25" s="13"/>
    </row>
    <row r="26" spans="1:9" ht="12.75">
      <c r="A26" s="43"/>
      <c r="B26" s="46"/>
      <c r="C26" s="42"/>
      <c r="D26" s="72"/>
      <c r="E26" s="40"/>
      <c r="F26" s="40"/>
      <c r="G26" s="39"/>
      <c r="H26" s="73">
        <f>SUM(H18:H25)</f>
        <v>3286740</v>
      </c>
      <c r="I26" s="13"/>
    </row>
    <row r="27" spans="1:10" ht="13.5" thickBot="1">
      <c r="A27" s="38" t="s">
        <v>67</v>
      </c>
      <c r="B27" s="37"/>
      <c r="C27" s="36"/>
      <c r="D27" s="35">
        <v>0.262</v>
      </c>
      <c r="E27" s="34"/>
      <c r="F27" s="34"/>
      <c r="G27" s="33">
        <v>12</v>
      </c>
      <c r="H27" s="83">
        <f>H26*D27</f>
        <v>861125.88</v>
      </c>
      <c r="I27" s="13"/>
      <c r="J27" s="15">
        <f>H27+H26</f>
        <v>4147865.88</v>
      </c>
    </row>
    <row r="28" spans="1:9" ht="12.75">
      <c r="A28" s="76"/>
      <c r="B28" s="77"/>
      <c r="C28" s="78"/>
      <c r="D28" s="79"/>
      <c r="E28" s="80"/>
      <c r="F28" s="80"/>
      <c r="G28" s="81"/>
      <c r="H28" s="82"/>
      <c r="I28" s="13"/>
    </row>
    <row r="29" spans="1:9" ht="12.75">
      <c r="A29" s="43" t="s">
        <v>68</v>
      </c>
      <c r="B29" s="39"/>
      <c r="C29" s="42"/>
      <c r="D29" s="41"/>
      <c r="E29" s="40"/>
      <c r="F29" s="40"/>
      <c r="G29" s="39"/>
      <c r="H29" s="47">
        <f>H30+H31</f>
        <v>396575.928</v>
      </c>
      <c r="I29" s="13"/>
    </row>
    <row r="30" spans="1:10" ht="12.75">
      <c r="A30" s="43" t="s">
        <v>71</v>
      </c>
      <c r="B30" s="39">
        <v>1</v>
      </c>
      <c r="C30" s="42">
        <v>14</v>
      </c>
      <c r="D30" s="41">
        <v>870</v>
      </c>
      <c r="E30" s="40"/>
      <c r="F30" s="40">
        <v>0.15</v>
      </c>
      <c r="G30" s="39">
        <f>12</f>
        <v>12</v>
      </c>
      <c r="H30" s="47">
        <f>B30*(2+E30+F30)*(C30*D30)*G30</f>
        <v>314244</v>
      </c>
      <c r="I30" s="13"/>
      <c r="J30" s="13"/>
    </row>
    <row r="31" spans="1:10" ht="13.5" thickBot="1">
      <c r="A31" s="38"/>
      <c r="B31" s="33"/>
      <c r="C31" s="36"/>
      <c r="D31" s="87">
        <v>0.262</v>
      </c>
      <c r="E31" s="34"/>
      <c r="F31" s="34"/>
      <c r="G31" s="33">
        <v>12</v>
      </c>
      <c r="H31" s="83">
        <f>H30*D31</f>
        <v>82331.928</v>
      </c>
      <c r="I31" s="13"/>
      <c r="J31" s="15">
        <f>H30+H31</f>
        <v>396575.928</v>
      </c>
    </row>
    <row r="32" spans="1:10" ht="12.75">
      <c r="A32" s="88" t="s">
        <v>87</v>
      </c>
      <c r="B32" s="89"/>
      <c r="C32" s="90"/>
      <c r="D32" s="91"/>
      <c r="E32" s="92"/>
      <c r="F32" s="92"/>
      <c r="G32" s="89"/>
      <c r="H32" s="93">
        <f>H15+H26+H29</f>
        <v>4297187.928</v>
      </c>
      <c r="I32" s="13"/>
      <c r="J32" s="15"/>
    </row>
    <row r="33" spans="1:10" ht="12.75">
      <c r="A33" s="94" t="s">
        <v>88</v>
      </c>
      <c r="B33" s="95"/>
      <c r="C33" s="96"/>
      <c r="D33" s="97"/>
      <c r="E33" s="98"/>
      <c r="F33" s="98"/>
      <c r="G33" s="95"/>
      <c r="H33" s="99">
        <f>H16+H27+H31</f>
        <v>1104292.272</v>
      </c>
      <c r="I33" s="13"/>
      <c r="J33" s="15">
        <f>H32+H33</f>
        <v>5401480.2</v>
      </c>
    </row>
    <row r="34" spans="1:7" ht="12.75">
      <c r="A34" s="10">
        <v>221</v>
      </c>
      <c r="C34" s="26"/>
      <c r="E34" s="31"/>
      <c r="F34" s="31"/>
      <c r="G34" s="26"/>
    </row>
    <row r="35" spans="1:8" ht="12.75">
      <c r="A35" s="22" t="s">
        <v>94</v>
      </c>
      <c r="B35" s="21">
        <v>3000</v>
      </c>
      <c r="C35" s="17"/>
      <c r="D35" s="19"/>
      <c r="E35" s="30"/>
      <c r="F35" s="30"/>
      <c r="G35" s="17">
        <v>12</v>
      </c>
      <c r="H35" s="16">
        <f>B35*G35</f>
        <v>36000</v>
      </c>
    </row>
    <row r="36" spans="1:8" ht="12.75">
      <c r="A36" s="22" t="s">
        <v>66</v>
      </c>
      <c r="B36" s="21">
        <v>6850</v>
      </c>
      <c r="C36" s="20"/>
      <c r="D36" s="19"/>
      <c r="E36" s="18"/>
      <c r="F36" s="18"/>
      <c r="G36" s="17">
        <v>12</v>
      </c>
      <c r="H36" s="16">
        <f>B36*G36</f>
        <v>82200</v>
      </c>
    </row>
    <row r="37" spans="1:8" ht="12.75">
      <c r="A37" s="22" t="s">
        <v>65</v>
      </c>
      <c r="B37" s="21">
        <v>500</v>
      </c>
      <c r="C37" s="20"/>
      <c r="D37" s="19"/>
      <c r="E37" s="18"/>
      <c r="F37" s="18"/>
      <c r="G37" s="17">
        <v>12</v>
      </c>
      <c r="H37" s="16">
        <f>B37*G37</f>
        <v>6000</v>
      </c>
    </row>
    <row r="38" spans="1:10" ht="12.75">
      <c r="A38" s="20"/>
      <c r="B38" s="21"/>
      <c r="C38" s="20"/>
      <c r="D38" s="19"/>
      <c r="E38" s="18"/>
      <c r="F38" s="18"/>
      <c r="G38" s="20"/>
      <c r="H38" s="99">
        <f>SUM(H35:H37)</f>
        <v>124200</v>
      </c>
      <c r="J38" s="13">
        <f>H39</f>
        <v>0</v>
      </c>
    </row>
    <row r="39" spans="1:8" ht="12.75">
      <c r="A39" s="10">
        <v>222</v>
      </c>
      <c r="B39" s="23"/>
      <c r="H39" s="16"/>
    </row>
    <row r="40" spans="1:8" ht="12.75">
      <c r="A40" s="22" t="s">
        <v>50</v>
      </c>
      <c r="B40" s="21">
        <v>6000</v>
      </c>
      <c r="C40" s="20"/>
      <c r="D40" s="19"/>
      <c r="E40" s="18"/>
      <c r="F40" s="18"/>
      <c r="G40" s="17">
        <v>12</v>
      </c>
      <c r="H40" s="16">
        <f>H41+H42</f>
        <v>72000</v>
      </c>
    </row>
    <row r="41" spans="1:8" ht="12.75">
      <c r="A41" s="27" t="s">
        <v>92</v>
      </c>
      <c r="B41" s="23"/>
      <c r="G41" s="26">
        <v>1</v>
      </c>
      <c r="H41" s="9">
        <f>B41*G41</f>
        <v>0</v>
      </c>
    </row>
    <row r="42" spans="1:8" ht="12.75">
      <c r="A42" s="22" t="s">
        <v>64</v>
      </c>
      <c r="B42" s="21">
        <v>6000</v>
      </c>
      <c r="C42" s="20"/>
      <c r="D42" s="19"/>
      <c r="E42" s="18"/>
      <c r="F42" s="18"/>
      <c r="G42" s="17">
        <v>12</v>
      </c>
      <c r="H42" s="16">
        <f>B42*G42</f>
        <v>72000</v>
      </c>
    </row>
    <row r="43" spans="1:8" ht="12" customHeight="1">
      <c r="A43" s="10">
        <v>223</v>
      </c>
      <c r="B43" s="23"/>
      <c r="H43" s="16"/>
    </row>
    <row r="44" spans="1:8" ht="12.75">
      <c r="A44" s="22" t="s">
        <v>63</v>
      </c>
      <c r="B44" s="21"/>
      <c r="C44" s="20"/>
      <c r="D44" s="29">
        <v>4715</v>
      </c>
      <c r="E44" s="18"/>
      <c r="F44" s="28"/>
      <c r="G44" s="17">
        <v>12</v>
      </c>
      <c r="H44" s="9">
        <f>D44*G44</f>
        <v>56580</v>
      </c>
    </row>
    <row r="45" spans="1:9" ht="12.75">
      <c r="A45" s="22" t="s">
        <v>62</v>
      </c>
      <c r="B45" s="21"/>
      <c r="C45" s="20"/>
      <c r="D45" s="29">
        <v>5950</v>
      </c>
      <c r="E45" s="18"/>
      <c r="F45" s="28"/>
      <c r="G45" s="17">
        <v>12</v>
      </c>
      <c r="H45" s="16">
        <f>D45*G45</f>
        <v>71400</v>
      </c>
      <c r="I45" s="13"/>
    </row>
    <row r="46" spans="2:10" ht="13.5" thickBot="1">
      <c r="B46" s="23"/>
      <c r="H46" s="16">
        <f>SUM(H44:H45)</f>
        <v>127980</v>
      </c>
      <c r="J46" s="13">
        <f>H47</f>
        <v>0</v>
      </c>
    </row>
    <row r="47" spans="1:8" ht="13.5" thickBot="1">
      <c r="A47" s="10">
        <v>225</v>
      </c>
      <c r="B47" s="23"/>
      <c r="H47" s="24"/>
    </row>
    <row r="48" spans="1:8" ht="12.75">
      <c r="A48" s="22" t="s">
        <v>61</v>
      </c>
      <c r="B48" s="21">
        <f>40000</f>
        <v>40000</v>
      </c>
      <c r="C48" s="20"/>
      <c r="D48" s="19"/>
      <c r="E48" s="18"/>
      <c r="F48" s="18"/>
      <c r="G48" s="17">
        <v>1</v>
      </c>
      <c r="H48" s="9">
        <f>B48</f>
        <v>40000</v>
      </c>
    </row>
    <row r="49" spans="1:8" ht="12.75">
      <c r="A49" s="22" t="s">
        <v>60</v>
      </c>
      <c r="B49" s="21">
        <f>5000*1.1</f>
        <v>5500</v>
      </c>
      <c r="C49" s="20"/>
      <c r="D49" s="19"/>
      <c r="E49" s="18"/>
      <c r="F49" s="18"/>
      <c r="G49" s="17">
        <v>12</v>
      </c>
      <c r="H49" s="16">
        <f>B49*G49</f>
        <v>66000</v>
      </c>
    </row>
    <row r="50" spans="1:10" ht="12.75">
      <c r="A50" s="27"/>
      <c r="B50" s="23"/>
      <c r="G50" s="26"/>
      <c r="H50" s="16">
        <f>SUM(H48:H49)</f>
        <v>106000</v>
      </c>
      <c r="J50" s="13">
        <f>H51</f>
        <v>0</v>
      </c>
    </row>
    <row r="51" spans="1:2" ht="12.75">
      <c r="A51" s="10">
        <v>226</v>
      </c>
      <c r="B51" s="23"/>
    </row>
    <row r="52" spans="1:8" ht="12.75">
      <c r="A52" s="22" t="s">
        <v>59</v>
      </c>
      <c r="B52" s="21">
        <f>10000</f>
        <v>10000</v>
      </c>
      <c r="C52" s="20"/>
      <c r="D52" s="19"/>
      <c r="E52" s="18"/>
      <c r="F52" s="18"/>
      <c r="G52" s="17">
        <v>12</v>
      </c>
      <c r="H52" s="16">
        <f>B52*G52</f>
        <v>120000</v>
      </c>
    </row>
    <row r="53" spans="1:8" ht="12.75">
      <c r="A53" s="22" t="s">
        <v>59</v>
      </c>
      <c r="B53" s="21">
        <v>0</v>
      </c>
      <c r="C53" s="20"/>
      <c r="D53" s="19"/>
      <c r="E53" s="18"/>
      <c r="F53" s="18"/>
      <c r="G53" s="17">
        <v>7</v>
      </c>
      <c r="H53" s="16">
        <f aca="true" t="shared" si="1" ref="H53:H58">B53*G53</f>
        <v>0</v>
      </c>
    </row>
    <row r="54" spans="1:8" ht="12.75">
      <c r="A54" s="22" t="s">
        <v>58</v>
      </c>
      <c r="B54" s="21">
        <v>2310</v>
      </c>
      <c r="C54" s="20"/>
      <c r="D54" s="19"/>
      <c r="E54" s="18"/>
      <c r="F54" s="18"/>
      <c r="G54" s="17">
        <v>12</v>
      </c>
      <c r="H54" s="16">
        <f t="shared" si="1"/>
        <v>27720</v>
      </c>
    </row>
    <row r="55" spans="1:8" ht="12.75">
      <c r="A55" s="22" t="s">
        <v>57</v>
      </c>
      <c r="B55" s="21">
        <v>10230</v>
      </c>
      <c r="C55" s="20"/>
      <c r="D55" s="19"/>
      <c r="E55" s="18"/>
      <c r="F55" s="18"/>
      <c r="G55" s="17">
        <v>12</v>
      </c>
      <c r="H55" s="16">
        <f>B55*G55+4400+25000-100</f>
        <v>152060</v>
      </c>
    </row>
    <row r="56" spans="1:8" ht="12.75">
      <c r="A56" s="22" t="s">
        <v>56</v>
      </c>
      <c r="B56" s="21">
        <v>5500</v>
      </c>
      <c r="C56" s="20"/>
      <c r="D56" s="19"/>
      <c r="E56" s="18"/>
      <c r="F56" s="18"/>
      <c r="G56" s="17">
        <v>12</v>
      </c>
      <c r="H56" s="16">
        <f t="shared" si="1"/>
        <v>66000</v>
      </c>
    </row>
    <row r="57" spans="1:8" ht="12.75">
      <c r="A57" s="22" t="s">
        <v>55</v>
      </c>
      <c r="B57" s="21">
        <v>4400</v>
      </c>
      <c r="C57" s="20"/>
      <c r="D57" s="19"/>
      <c r="E57" s="18"/>
      <c r="F57" s="18"/>
      <c r="G57" s="17">
        <v>1</v>
      </c>
      <c r="H57" s="16">
        <f t="shared" si="1"/>
        <v>4400</v>
      </c>
    </row>
    <row r="58" spans="1:8" ht="13.5" thickBot="1">
      <c r="A58" s="25" t="s">
        <v>54</v>
      </c>
      <c r="B58" s="21">
        <f>200000</f>
        <v>200000</v>
      </c>
      <c r="C58" s="20"/>
      <c r="D58" s="19"/>
      <c r="E58" s="18"/>
      <c r="F58" s="18"/>
      <c r="G58" s="17">
        <v>1</v>
      </c>
      <c r="H58" s="16">
        <f t="shared" si="1"/>
        <v>200000</v>
      </c>
    </row>
    <row r="59" spans="2:10" ht="13.5" thickBot="1">
      <c r="B59" s="23"/>
      <c r="H59" s="24">
        <f>SUM(H52:H58)</f>
        <v>570180</v>
      </c>
      <c r="J59" s="13">
        <f>H60</f>
        <v>0</v>
      </c>
    </row>
    <row r="60" spans="1:8" ht="13.5" thickBot="1">
      <c r="A60" s="10">
        <v>290</v>
      </c>
      <c r="B60" s="23"/>
      <c r="H60" s="24"/>
    </row>
    <row r="61" spans="1:10" ht="12.75">
      <c r="A61" s="22" t="s">
        <v>53</v>
      </c>
      <c r="B61" s="21">
        <v>20000</v>
      </c>
      <c r="C61" s="20"/>
      <c r="D61" s="19"/>
      <c r="E61" s="18"/>
      <c r="F61" s="18"/>
      <c r="G61" s="17">
        <v>1</v>
      </c>
      <c r="H61" s="9">
        <f>B61*G61</f>
        <v>20000</v>
      </c>
      <c r="J61" s="13">
        <f>H62</f>
        <v>0</v>
      </c>
    </row>
    <row r="62" spans="1:10" ht="12.75">
      <c r="A62" s="10">
        <v>310</v>
      </c>
      <c r="B62" s="23"/>
      <c r="H62" s="16"/>
      <c r="I62" s="8">
        <v>200</v>
      </c>
      <c r="J62" s="15">
        <f>SUM(J38:J61)</f>
        <v>0</v>
      </c>
    </row>
    <row r="63" spans="1:10" ht="12.75">
      <c r="A63" s="22" t="s">
        <v>52</v>
      </c>
      <c r="B63" s="100">
        <v>190000</v>
      </c>
      <c r="C63" s="20"/>
      <c r="D63" s="19"/>
      <c r="E63" s="18"/>
      <c r="F63" s="18"/>
      <c r="G63" s="17">
        <v>1</v>
      </c>
      <c r="H63" s="9">
        <f>B63*G63</f>
        <v>190000</v>
      </c>
      <c r="J63" s="13">
        <f>H64</f>
        <v>0</v>
      </c>
    </row>
    <row r="64" spans="1:8" ht="12.75">
      <c r="A64" s="10">
        <v>340</v>
      </c>
      <c r="B64" s="23"/>
      <c r="H64" s="16"/>
    </row>
    <row r="65" spans="1:10" ht="12.75">
      <c r="A65" s="22" t="s">
        <v>51</v>
      </c>
      <c r="B65" s="21">
        <v>210800</v>
      </c>
      <c r="C65" s="20"/>
      <c r="D65" s="19"/>
      <c r="E65" s="18"/>
      <c r="F65" s="18"/>
      <c r="G65" s="17">
        <v>1</v>
      </c>
      <c r="H65" s="9">
        <f>B65*G65</f>
        <v>210800</v>
      </c>
      <c r="J65" s="13">
        <f>H66</f>
        <v>0</v>
      </c>
    </row>
    <row r="66" spans="2:10" ht="12.75">
      <c r="B66" s="14"/>
      <c r="H66" s="16"/>
      <c r="I66" s="8">
        <v>300</v>
      </c>
      <c r="J66" s="15">
        <f>SUM(J63:J65)</f>
        <v>0</v>
      </c>
    </row>
    <row r="67" ht="12.75">
      <c r="B67" s="14"/>
    </row>
    <row r="68" spans="2:10" ht="12.75">
      <c r="B68" s="14"/>
      <c r="I68" s="8" t="s">
        <v>50</v>
      </c>
      <c r="J68" s="13">
        <f>J7+J10+J16+J31+J62+J66</f>
        <v>2546781.6240000003</v>
      </c>
    </row>
    <row r="70" ht="12.75">
      <c r="J70" s="13">
        <f>J68/1000</f>
        <v>2546.781624</v>
      </c>
    </row>
    <row r="72" ht="12.75">
      <c r="J72" s="13">
        <f>6461.3-J70</f>
        <v>3914.518376</v>
      </c>
    </row>
  </sheetData>
  <sheetProtection/>
  <mergeCells count="1">
    <mergeCell ref="F1:H1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zoomScalePageLayoutView="0" workbookViewId="0" topLeftCell="A1">
      <pane xSplit="2" ySplit="10" topLeftCell="C34" activePane="bottomRight" state="frozen"/>
      <selection pane="topLeft"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421875" style="1" customWidth="1"/>
    <col min="3" max="3" width="51.421875" style="2" customWidth="1"/>
    <col min="4" max="4" width="11.7109375" style="6" hidden="1" customWidth="1"/>
    <col min="5" max="5" width="10.8515625" style="2" hidden="1" customWidth="1"/>
    <col min="6" max="6" width="13.421875" style="2" hidden="1" customWidth="1"/>
    <col min="7" max="7" width="15.8515625" style="2" hidden="1" customWidth="1"/>
    <col min="8" max="8" width="14.00390625" style="2" hidden="1" customWidth="1"/>
    <col min="9" max="9" width="16.57421875" style="2" hidden="1" customWidth="1"/>
    <col min="10" max="10" width="15.421875" style="2" customWidth="1"/>
    <col min="11" max="11" width="12.7109375" style="2" hidden="1" customWidth="1"/>
    <col min="12" max="12" width="12.00390625" style="2" hidden="1" customWidth="1"/>
    <col min="13" max="13" width="10.140625" style="2" hidden="1" customWidth="1"/>
    <col min="14" max="16" width="0" style="2" hidden="1" customWidth="1"/>
    <col min="17" max="17" width="9.140625" style="2" customWidth="1"/>
    <col min="18" max="18" width="10.140625" style="2" bestFit="1" customWidth="1"/>
    <col min="19" max="19" width="9.140625" style="227" customWidth="1"/>
    <col min="20" max="16384" width="9.140625" style="2" customWidth="1"/>
  </cols>
  <sheetData>
    <row r="1" spans="1:16" ht="21" customHeight="1">
      <c r="A1" s="114" t="s">
        <v>138</v>
      </c>
      <c r="B1" s="115"/>
      <c r="C1" s="346" t="s">
        <v>190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1:16" ht="21" customHeight="1">
      <c r="A2" s="111"/>
      <c r="B2" s="116"/>
      <c r="C2" s="116"/>
      <c r="D2" s="116"/>
      <c r="E2" s="116"/>
      <c r="F2" s="116"/>
      <c r="G2" s="116"/>
      <c r="H2" s="116"/>
      <c r="I2" s="116"/>
      <c r="J2" s="117" t="s">
        <v>211</v>
      </c>
      <c r="K2" s="116"/>
      <c r="L2" s="116"/>
      <c r="M2" s="116"/>
      <c r="N2" s="116"/>
      <c r="O2" s="116"/>
      <c r="P2" s="116"/>
    </row>
    <row r="3" spans="1:16" ht="21" customHeight="1">
      <c r="A3" s="111"/>
      <c r="B3" s="116"/>
      <c r="C3" s="116"/>
      <c r="D3" s="116"/>
      <c r="E3" s="116"/>
      <c r="F3" s="116"/>
      <c r="G3" s="116"/>
      <c r="H3" s="116"/>
      <c r="I3" s="116"/>
      <c r="J3" s="117" t="s">
        <v>212</v>
      </c>
      <c r="K3" s="116"/>
      <c r="L3" s="116"/>
      <c r="M3" s="116"/>
      <c r="N3" s="116"/>
      <c r="O3" s="116"/>
      <c r="P3" s="116"/>
    </row>
    <row r="4" spans="1:16" ht="22.5" customHeight="1">
      <c r="A4" s="111"/>
      <c r="B4" s="111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22.5" customHeight="1">
      <c r="A5" s="344" t="s">
        <v>204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</row>
    <row r="6" spans="1:16" ht="27" customHeight="1">
      <c r="A6" s="344" t="s">
        <v>213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ht="27" customHeight="1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45" t="s">
        <v>203</v>
      </c>
      <c r="P7" s="345"/>
    </row>
    <row r="8" spans="1:19" s="7" customFormat="1" ht="61.5" customHeight="1" thickBot="1">
      <c r="A8" s="119" t="s">
        <v>0</v>
      </c>
      <c r="B8" s="119" t="s">
        <v>8</v>
      </c>
      <c r="C8" s="120" t="s">
        <v>1</v>
      </c>
      <c r="D8" s="121" t="s">
        <v>135</v>
      </c>
      <c r="E8" s="121" t="s">
        <v>139</v>
      </c>
      <c r="F8" s="121" t="s">
        <v>136</v>
      </c>
      <c r="G8" s="121" t="s">
        <v>164</v>
      </c>
      <c r="H8" s="121" t="s">
        <v>188</v>
      </c>
      <c r="I8" s="121" t="s">
        <v>161</v>
      </c>
      <c r="J8" s="121" t="s">
        <v>189</v>
      </c>
      <c r="K8" s="122" t="s">
        <v>159</v>
      </c>
      <c r="L8" s="123" t="s">
        <v>162</v>
      </c>
      <c r="M8" s="124" t="s">
        <v>199</v>
      </c>
      <c r="N8" s="124" t="s">
        <v>200</v>
      </c>
      <c r="O8" s="124" t="s">
        <v>201</v>
      </c>
      <c r="P8" s="124" t="s">
        <v>202</v>
      </c>
      <c r="S8" s="228"/>
    </row>
    <row r="9" spans="1:19" s="3" customFormat="1" ht="16.5" thickBot="1">
      <c r="A9" s="125" t="s">
        <v>2</v>
      </c>
      <c r="B9" s="126" t="s">
        <v>11</v>
      </c>
      <c r="C9" s="127" t="s">
        <v>192</v>
      </c>
      <c r="D9" s="128" t="e">
        <f>D10+D21+D24+D31+D35</f>
        <v>#REF!</v>
      </c>
      <c r="E9" s="128" t="e">
        <f>E10+E21+E24+E31+E35</f>
        <v>#REF!</v>
      </c>
      <c r="F9" s="128" t="e">
        <f>F10+F21+F24+F31+F35</f>
        <v>#REF!</v>
      </c>
      <c r="G9" s="128">
        <f aca="true" t="shared" si="0" ref="G9:P9">G10+G21+G24+G35+G43</f>
        <v>29725.4</v>
      </c>
      <c r="H9" s="128">
        <f t="shared" si="0"/>
        <v>17464.399999999998</v>
      </c>
      <c r="I9" s="128">
        <f t="shared" si="0"/>
        <v>29091.899999999998</v>
      </c>
      <c r="J9" s="129">
        <f>J10+J21+J24+J35+J43+J39</f>
        <v>26445.6</v>
      </c>
      <c r="K9" s="130">
        <f t="shared" si="0"/>
        <v>27354.59</v>
      </c>
      <c r="L9" s="131">
        <f t="shared" si="0"/>
        <v>28859.092449999996</v>
      </c>
      <c r="M9" s="132">
        <f t="shared" si="0"/>
        <v>8499.166666666666</v>
      </c>
      <c r="N9" s="132">
        <f t="shared" si="0"/>
        <v>8499.166666666666</v>
      </c>
      <c r="O9" s="132">
        <f t="shared" si="0"/>
        <v>8499.166666666666</v>
      </c>
      <c r="P9" s="132">
        <f t="shared" si="0"/>
        <v>133.5</v>
      </c>
      <c r="S9" s="229"/>
    </row>
    <row r="10" spans="1:19" s="4" customFormat="1" ht="16.5" thickBot="1">
      <c r="A10" s="133" t="s">
        <v>6</v>
      </c>
      <c r="B10" s="134" t="s">
        <v>103</v>
      </c>
      <c r="C10" s="135" t="s">
        <v>4</v>
      </c>
      <c r="D10" s="136">
        <f aca="true" t="shared" si="1" ref="D10:P10">D11+D18</f>
        <v>9631.4</v>
      </c>
      <c r="E10" s="136">
        <f t="shared" si="1"/>
        <v>6727.71</v>
      </c>
      <c r="F10" s="136">
        <f t="shared" si="1"/>
        <v>10213.75</v>
      </c>
      <c r="G10" s="136">
        <f t="shared" si="1"/>
        <v>18820</v>
      </c>
      <c r="H10" s="136">
        <f t="shared" si="1"/>
        <v>10036.199999999999</v>
      </c>
      <c r="I10" s="136">
        <f t="shared" si="1"/>
        <v>17432.899999999998</v>
      </c>
      <c r="J10" s="137">
        <f>J11+J18+J20</f>
        <v>15644</v>
      </c>
      <c r="K10" s="138">
        <f t="shared" si="1"/>
        <v>16771.415999999997</v>
      </c>
      <c r="L10" s="139">
        <f t="shared" si="1"/>
        <v>17693.843879999997</v>
      </c>
      <c r="M10" s="140">
        <f t="shared" si="1"/>
        <v>5188.5</v>
      </c>
      <c r="N10" s="140">
        <f t="shared" si="1"/>
        <v>5188.5</v>
      </c>
      <c r="O10" s="140">
        <f t="shared" si="1"/>
        <v>5188.5</v>
      </c>
      <c r="P10" s="140">
        <f t="shared" si="1"/>
        <v>62.5</v>
      </c>
      <c r="S10" s="230"/>
    </row>
    <row r="11" spans="1:19" s="6" customFormat="1" ht="39.75" customHeight="1">
      <c r="A11" s="141" t="s">
        <v>31</v>
      </c>
      <c r="B11" s="142" t="s">
        <v>156</v>
      </c>
      <c r="C11" s="143" t="s">
        <v>97</v>
      </c>
      <c r="D11" s="144">
        <f>D12+D15+D13+D16</f>
        <v>9391.4</v>
      </c>
      <c r="E11" s="144">
        <f>E12+E15+E13+E16</f>
        <v>6546.21</v>
      </c>
      <c r="F11" s="144">
        <f>F12+F15+F13+F16</f>
        <v>9941.5</v>
      </c>
      <c r="G11" s="144">
        <f>G12+G15+G13+G16+G17</f>
        <v>18620</v>
      </c>
      <c r="H11" s="144">
        <f>H12+H15+H13+H16+H17</f>
        <v>9812.999999999998</v>
      </c>
      <c r="I11" s="144">
        <f>I12+I15+I13+I16+I17+I18</f>
        <v>17098.1</v>
      </c>
      <c r="J11" s="145">
        <f>J12+J15+J13+J16+J17</f>
        <v>15404</v>
      </c>
      <c r="K11" s="146">
        <f>K12+K15+K13+K16+K17+K18</f>
        <v>16534.424</v>
      </c>
      <c r="L11" s="147">
        <f>L12+L15+L13+L16+L17+L18</f>
        <v>17443.81732</v>
      </c>
      <c r="M11" s="148">
        <f>M12+M15+M13+M16+M17</f>
        <v>5113.833333333333</v>
      </c>
      <c r="N11" s="148">
        <f>N12+N15+N13+N16+N17</f>
        <v>5113.833333333333</v>
      </c>
      <c r="O11" s="148">
        <f>O12+O15+O13+O16+O17</f>
        <v>5113.833333333333</v>
      </c>
      <c r="P11" s="148">
        <f>P12+P15+P13+P16+P17</f>
        <v>62.5</v>
      </c>
      <c r="S11" s="231"/>
    </row>
    <row r="12" spans="1:19" s="6" customFormat="1" ht="39.75" customHeight="1">
      <c r="A12" s="141" t="s">
        <v>17</v>
      </c>
      <c r="B12" s="142" t="s">
        <v>120</v>
      </c>
      <c r="C12" s="143" t="s">
        <v>98</v>
      </c>
      <c r="D12" s="144">
        <v>6131.4</v>
      </c>
      <c r="E12" s="144">
        <v>3667.3</v>
      </c>
      <c r="F12" s="144">
        <f>E12/8*12</f>
        <v>5500.950000000001</v>
      </c>
      <c r="G12" s="144">
        <v>17300</v>
      </c>
      <c r="H12" s="144">
        <v>8970.8</v>
      </c>
      <c r="I12" s="144">
        <v>15500</v>
      </c>
      <c r="J12" s="145">
        <v>12426</v>
      </c>
      <c r="K12" s="149">
        <f>J12*1.058</f>
        <v>13146.708</v>
      </c>
      <c r="L12" s="150">
        <f>K12*1.055</f>
        <v>13869.77694</v>
      </c>
      <c r="M12" s="148">
        <f>J12/3</f>
        <v>4142</v>
      </c>
      <c r="N12" s="148">
        <f>J12/3</f>
        <v>4142</v>
      </c>
      <c r="O12" s="148">
        <f>J12/3</f>
        <v>4142</v>
      </c>
      <c r="P12" s="148">
        <v>0</v>
      </c>
      <c r="S12" s="231"/>
    </row>
    <row r="13" spans="1:19" s="6" customFormat="1" ht="60.75" customHeight="1" hidden="1">
      <c r="A13" s="141" t="s">
        <v>16</v>
      </c>
      <c r="B13" s="142" t="s">
        <v>121</v>
      </c>
      <c r="C13" s="143" t="s">
        <v>122</v>
      </c>
      <c r="D13" s="144">
        <v>2450</v>
      </c>
      <c r="E13" s="144">
        <v>2220.5</v>
      </c>
      <c r="F13" s="144">
        <f>E13/8*12</f>
        <v>3330.75</v>
      </c>
      <c r="G13" s="144"/>
      <c r="H13" s="144"/>
      <c r="I13" s="144">
        <f>H13/8*12</f>
        <v>0</v>
      </c>
      <c r="J13" s="145">
        <f aca="true" t="shared" si="2" ref="J13:K47">I13*1.058</f>
        <v>0</v>
      </c>
      <c r="K13" s="149">
        <f t="shared" si="2"/>
        <v>0</v>
      </c>
      <c r="L13" s="150">
        <f aca="true" t="shared" si="3" ref="L13:L47">K13*1.055</f>
        <v>0</v>
      </c>
      <c r="M13" s="144">
        <v>0</v>
      </c>
      <c r="N13" s="144">
        <v>0</v>
      </c>
      <c r="O13" s="144">
        <v>0</v>
      </c>
      <c r="P13" s="144">
        <v>0</v>
      </c>
      <c r="S13" s="231"/>
    </row>
    <row r="14" spans="1:19" s="6" customFormat="1" ht="39.75" customHeight="1">
      <c r="A14" s="141" t="s">
        <v>32</v>
      </c>
      <c r="B14" s="142" t="s">
        <v>165</v>
      </c>
      <c r="C14" s="143" t="s">
        <v>99</v>
      </c>
      <c r="D14" s="144"/>
      <c r="E14" s="144"/>
      <c r="F14" s="144"/>
      <c r="G14" s="144">
        <f>G15</f>
        <v>760</v>
      </c>
      <c r="H14" s="144">
        <f>H15</f>
        <v>824.4</v>
      </c>
      <c r="I14" s="144">
        <f>I15</f>
        <v>1236.6</v>
      </c>
      <c r="J14" s="145">
        <f>J15</f>
        <v>2728</v>
      </c>
      <c r="K14" s="149">
        <f t="shared" si="2"/>
        <v>2886.224</v>
      </c>
      <c r="L14" s="150">
        <f t="shared" si="3"/>
        <v>3044.96632</v>
      </c>
      <c r="M14" s="148">
        <f>M15</f>
        <v>909.3333333333334</v>
      </c>
      <c r="N14" s="148">
        <f>N15</f>
        <v>909.3333333333334</v>
      </c>
      <c r="O14" s="148">
        <f>O15</f>
        <v>909.3333333333334</v>
      </c>
      <c r="P14" s="148">
        <f>P15</f>
        <v>0</v>
      </c>
      <c r="S14" s="231"/>
    </row>
    <row r="15" spans="1:19" s="6" customFormat="1" ht="39.75" customHeight="1">
      <c r="A15" s="141" t="s">
        <v>119</v>
      </c>
      <c r="B15" s="142" t="s">
        <v>123</v>
      </c>
      <c r="C15" s="143" t="s">
        <v>99</v>
      </c>
      <c r="D15" s="144">
        <v>800</v>
      </c>
      <c r="E15" s="144">
        <v>733.2</v>
      </c>
      <c r="F15" s="144">
        <f>E15/8*12</f>
        <v>1099.8000000000002</v>
      </c>
      <c r="G15" s="144">
        <v>760</v>
      </c>
      <c r="H15" s="144">
        <v>824.4</v>
      </c>
      <c r="I15" s="144">
        <f aca="true" t="shared" si="4" ref="I15:I20">H15/8*12</f>
        <v>1236.6</v>
      </c>
      <c r="J15" s="145">
        <v>2728</v>
      </c>
      <c r="K15" s="149">
        <f t="shared" si="2"/>
        <v>2886.224</v>
      </c>
      <c r="L15" s="150">
        <f t="shared" si="3"/>
        <v>3044.96632</v>
      </c>
      <c r="M15" s="148">
        <f>J15/3</f>
        <v>909.3333333333334</v>
      </c>
      <c r="N15" s="148">
        <f>J15/3</f>
        <v>909.3333333333334</v>
      </c>
      <c r="O15" s="148">
        <f>J15/3</f>
        <v>909.3333333333334</v>
      </c>
      <c r="P15" s="148">
        <v>0</v>
      </c>
      <c r="S15" s="231"/>
    </row>
    <row r="16" spans="1:19" s="6" customFormat="1" ht="39.75" customHeight="1" hidden="1">
      <c r="A16" s="141" t="s">
        <v>119</v>
      </c>
      <c r="B16" s="142" t="s">
        <v>124</v>
      </c>
      <c r="C16" s="143" t="s">
        <v>125</v>
      </c>
      <c r="D16" s="144">
        <v>10</v>
      </c>
      <c r="E16" s="144">
        <v>-74.79</v>
      </c>
      <c r="F16" s="144">
        <v>10</v>
      </c>
      <c r="G16" s="151"/>
      <c r="H16" s="151"/>
      <c r="I16" s="144">
        <f t="shared" si="4"/>
        <v>0</v>
      </c>
      <c r="J16" s="145">
        <f t="shared" si="2"/>
        <v>0</v>
      </c>
      <c r="K16" s="149">
        <f t="shared" si="2"/>
        <v>0</v>
      </c>
      <c r="L16" s="150">
        <f t="shared" si="3"/>
        <v>0</v>
      </c>
      <c r="M16" s="144">
        <v>0</v>
      </c>
      <c r="N16" s="144">
        <v>0</v>
      </c>
      <c r="O16" s="144">
        <v>0</v>
      </c>
      <c r="P16" s="144">
        <v>0</v>
      </c>
      <c r="S16" s="231"/>
    </row>
    <row r="17" spans="1:19" s="6" customFormat="1" ht="39.75" customHeight="1">
      <c r="A17" s="141" t="s">
        <v>155</v>
      </c>
      <c r="B17" s="142" t="s">
        <v>153</v>
      </c>
      <c r="C17" s="143" t="s">
        <v>154</v>
      </c>
      <c r="D17" s="144"/>
      <c r="E17" s="144"/>
      <c r="F17" s="144"/>
      <c r="G17" s="144">
        <v>560</v>
      </c>
      <c r="H17" s="144">
        <v>17.8</v>
      </c>
      <c r="I17" s="144">
        <f t="shared" si="4"/>
        <v>26.700000000000003</v>
      </c>
      <c r="J17" s="145">
        <v>250</v>
      </c>
      <c r="K17" s="149">
        <f t="shared" si="2"/>
        <v>264.5</v>
      </c>
      <c r="L17" s="150">
        <f t="shared" si="3"/>
        <v>279.04749999999996</v>
      </c>
      <c r="M17" s="148">
        <f>J17/4</f>
        <v>62.5</v>
      </c>
      <c r="N17" s="148">
        <f>J17/4</f>
        <v>62.5</v>
      </c>
      <c r="O17" s="148">
        <f>J17/4</f>
        <v>62.5</v>
      </c>
      <c r="P17" s="148">
        <f>J17/4</f>
        <v>62.5</v>
      </c>
      <c r="S17" s="231"/>
    </row>
    <row r="18" spans="1:19" s="6" customFormat="1" ht="39.75" customHeight="1">
      <c r="A18" s="141" t="s">
        <v>113</v>
      </c>
      <c r="B18" s="142" t="s">
        <v>158</v>
      </c>
      <c r="C18" s="143" t="s">
        <v>191</v>
      </c>
      <c r="D18" s="144">
        <f>D19+D20</f>
        <v>240</v>
      </c>
      <c r="E18" s="144">
        <f>E19+E20</f>
        <v>181.5</v>
      </c>
      <c r="F18" s="144">
        <f>E18/8*12</f>
        <v>272.25</v>
      </c>
      <c r="G18" s="144">
        <f>G19+G20</f>
        <v>200</v>
      </c>
      <c r="H18" s="144">
        <f>H19+H20</f>
        <v>223.2</v>
      </c>
      <c r="I18" s="144">
        <f t="shared" si="4"/>
        <v>334.79999999999995</v>
      </c>
      <c r="J18" s="145">
        <f>J19</f>
        <v>224</v>
      </c>
      <c r="K18" s="149">
        <f t="shared" si="2"/>
        <v>236.99200000000002</v>
      </c>
      <c r="L18" s="150">
        <f t="shared" si="3"/>
        <v>250.02656000000002</v>
      </c>
      <c r="M18" s="148">
        <f>M19</f>
        <v>74.66666666666667</v>
      </c>
      <c r="N18" s="148">
        <f>N19</f>
        <v>74.66666666666667</v>
      </c>
      <c r="O18" s="148">
        <f>O19</f>
        <v>74.66666666666667</v>
      </c>
      <c r="P18" s="148">
        <f>P19</f>
        <v>0</v>
      </c>
      <c r="S18" s="231"/>
    </row>
    <row r="19" spans="1:19" s="6" customFormat="1" ht="39.75" customHeight="1">
      <c r="A19" s="141" t="s">
        <v>118</v>
      </c>
      <c r="B19" s="142" t="s">
        <v>126</v>
      </c>
      <c r="C19" s="143" t="s">
        <v>191</v>
      </c>
      <c r="D19" s="144">
        <v>120</v>
      </c>
      <c r="E19" s="144">
        <v>130.5</v>
      </c>
      <c r="F19" s="144">
        <f>E19/8*12</f>
        <v>195.75</v>
      </c>
      <c r="G19" s="144">
        <v>200</v>
      </c>
      <c r="H19" s="144">
        <v>223.2</v>
      </c>
      <c r="I19" s="144">
        <f t="shared" si="4"/>
        <v>334.79999999999995</v>
      </c>
      <c r="J19" s="145">
        <v>224</v>
      </c>
      <c r="K19" s="149">
        <f t="shared" si="2"/>
        <v>236.99200000000002</v>
      </c>
      <c r="L19" s="150">
        <f t="shared" si="3"/>
        <v>250.02656000000002</v>
      </c>
      <c r="M19" s="148">
        <f>J19/3</f>
        <v>74.66666666666667</v>
      </c>
      <c r="N19" s="148">
        <f>J19/3</f>
        <v>74.66666666666667</v>
      </c>
      <c r="O19" s="148">
        <f>J19/3</f>
        <v>74.66666666666667</v>
      </c>
      <c r="P19" s="148">
        <v>0</v>
      </c>
      <c r="S19" s="231"/>
    </row>
    <row r="20" spans="1:19" s="4" customFormat="1" ht="45" customHeight="1" thickBot="1">
      <c r="A20" s="141" t="s">
        <v>145</v>
      </c>
      <c r="B20" s="142" t="s">
        <v>214</v>
      </c>
      <c r="C20" s="143" t="s">
        <v>215</v>
      </c>
      <c r="D20" s="144">
        <v>120</v>
      </c>
      <c r="E20" s="144">
        <v>51</v>
      </c>
      <c r="F20" s="144">
        <f>E20/8*12</f>
        <v>76.5</v>
      </c>
      <c r="G20" s="151"/>
      <c r="H20" s="144"/>
      <c r="I20" s="144">
        <f t="shared" si="4"/>
        <v>0</v>
      </c>
      <c r="J20" s="145">
        <v>16</v>
      </c>
      <c r="K20" s="149">
        <f t="shared" si="2"/>
        <v>16.928</v>
      </c>
      <c r="L20" s="150">
        <f t="shared" si="3"/>
        <v>17.85904</v>
      </c>
      <c r="M20" s="152"/>
      <c r="N20" s="152"/>
      <c r="O20" s="152"/>
      <c r="P20" s="152"/>
      <c r="S20" s="230"/>
    </row>
    <row r="21" spans="1:19" s="6" customFormat="1" ht="16.5" thickBot="1">
      <c r="A21" s="133" t="s">
        <v>3</v>
      </c>
      <c r="B21" s="134" t="s">
        <v>104</v>
      </c>
      <c r="C21" s="135" t="s">
        <v>5</v>
      </c>
      <c r="D21" s="136">
        <f>D22</f>
        <v>300</v>
      </c>
      <c r="E21" s="136">
        <f aca="true" t="shared" si="5" ref="E21:P22">E22</f>
        <v>175</v>
      </c>
      <c r="F21" s="136">
        <f t="shared" si="5"/>
        <v>262.5</v>
      </c>
      <c r="G21" s="136">
        <f t="shared" si="5"/>
        <v>1600</v>
      </c>
      <c r="H21" s="136">
        <f t="shared" si="5"/>
        <v>950.7</v>
      </c>
      <c r="I21" s="136">
        <f t="shared" si="5"/>
        <v>1600</v>
      </c>
      <c r="J21" s="137">
        <f t="shared" si="5"/>
        <v>2985</v>
      </c>
      <c r="K21" s="153">
        <f t="shared" si="5"/>
        <v>3158.13</v>
      </c>
      <c r="L21" s="154">
        <f t="shared" si="5"/>
        <v>3331.82715</v>
      </c>
      <c r="M21" s="140">
        <f t="shared" si="5"/>
        <v>995</v>
      </c>
      <c r="N21" s="140">
        <f t="shared" si="5"/>
        <v>995</v>
      </c>
      <c r="O21" s="140">
        <f t="shared" si="5"/>
        <v>995</v>
      </c>
      <c r="P21" s="140">
        <f t="shared" si="5"/>
        <v>0</v>
      </c>
      <c r="S21" s="231"/>
    </row>
    <row r="22" spans="1:16" ht="39.75" customHeight="1">
      <c r="A22" s="141" t="s">
        <v>33</v>
      </c>
      <c r="B22" s="142" t="s">
        <v>157</v>
      </c>
      <c r="C22" s="155" t="s">
        <v>24</v>
      </c>
      <c r="D22" s="144">
        <f>D23</f>
        <v>300</v>
      </c>
      <c r="E22" s="144">
        <v>175</v>
      </c>
      <c r="F22" s="144">
        <f t="shared" si="5"/>
        <v>262.5</v>
      </c>
      <c r="G22" s="144">
        <f t="shared" si="5"/>
        <v>1600</v>
      </c>
      <c r="H22" s="144">
        <f t="shared" si="5"/>
        <v>950.7</v>
      </c>
      <c r="I22" s="144">
        <f>I23</f>
        <v>1600</v>
      </c>
      <c r="J22" s="145">
        <f>J23</f>
        <v>2985</v>
      </c>
      <c r="K22" s="149">
        <f t="shared" si="2"/>
        <v>3158.13</v>
      </c>
      <c r="L22" s="150">
        <f t="shared" si="3"/>
        <v>3331.82715</v>
      </c>
      <c r="M22" s="148">
        <f t="shared" si="5"/>
        <v>995</v>
      </c>
      <c r="N22" s="148">
        <f t="shared" si="5"/>
        <v>995</v>
      </c>
      <c r="O22" s="148">
        <f t="shared" si="5"/>
        <v>995</v>
      </c>
      <c r="P22" s="148">
        <f t="shared" si="5"/>
        <v>0</v>
      </c>
    </row>
    <row r="23" spans="1:19" s="6" customFormat="1" ht="64.5" thickBot="1">
      <c r="A23" s="141" t="s">
        <v>34</v>
      </c>
      <c r="B23" s="142" t="s">
        <v>21</v>
      </c>
      <c r="C23" s="143" t="s">
        <v>25</v>
      </c>
      <c r="D23" s="144">
        <v>300</v>
      </c>
      <c r="E23" s="144">
        <v>175</v>
      </c>
      <c r="F23" s="144">
        <f>E23/8*12</f>
        <v>262.5</v>
      </c>
      <c r="G23" s="144">
        <v>1600</v>
      </c>
      <c r="H23" s="144">
        <v>950.7</v>
      </c>
      <c r="I23" s="144">
        <v>1600</v>
      </c>
      <c r="J23" s="145">
        <f>1985+1000</f>
        <v>2985</v>
      </c>
      <c r="K23" s="149">
        <f t="shared" si="2"/>
        <v>3158.13</v>
      </c>
      <c r="L23" s="150">
        <f t="shared" si="3"/>
        <v>3331.82715</v>
      </c>
      <c r="M23" s="148">
        <f>J23/3</f>
        <v>995</v>
      </c>
      <c r="N23" s="148">
        <f>J23/3</f>
        <v>995</v>
      </c>
      <c r="O23" s="148">
        <f>J23/3</f>
        <v>995</v>
      </c>
      <c r="P23" s="148">
        <v>0</v>
      </c>
      <c r="S23" s="231"/>
    </row>
    <row r="24" spans="1:19" s="6" customFormat="1" ht="39" thickBot="1">
      <c r="A24" s="133">
        <v>3</v>
      </c>
      <c r="B24" s="134" t="s">
        <v>12</v>
      </c>
      <c r="C24" s="135" t="s">
        <v>100</v>
      </c>
      <c r="D24" s="136" t="e">
        <f>#REF!+#REF!+D25+#REF!+#REF!</f>
        <v>#REF!</v>
      </c>
      <c r="E24" s="136" t="e">
        <f>#REF!+#REF!+E25+#REF!+#REF!</f>
        <v>#REF!</v>
      </c>
      <c r="F24" s="136" t="e">
        <f>#REF!+#REF!+F25+#REF!+#REF!</f>
        <v>#REF!</v>
      </c>
      <c r="G24" s="136">
        <f aca="true" t="shared" si="6" ref="G24:L24">G29+G33</f>
        <v>9275.4</v>
      </c>
      <c r="H24" s="136">
        <f t="shared" si="6"/>
        <v>6457.7</v>
      </c>
      <c r="I24" s="136">
        <f t="shared" si="6"/>
        <v>10024</v>
      </c>
      <c r="J24" s="137">
        <f t="shared" si="6"/>
        <v>6746</v>
      </c>
      <c r="K24" s="153">
        <f t="shared" si="6"/>
        <v>7137.268</v>
      </c>
      <c r="L24" s="154">
        <f t="shared" si="6"/>
        <v>7529.81774</v>
      </c>
      <c r="M24" s="156">
        <f>M29+M33</f>
        <v>2247.6666666666665</v>
      </c>
      <c r="N24" s="156">
        <f>N29+N33</f>
        <v>2247.6666666666665</v>
      </c>
      <c r="O24" s="156">
        <f>O29+O33</f>
        <v>2247.6666666666665</v>
      </c>
      <c r="P24" s="156">
        <f>P29+P33</f>
        <v>3</v>
      </c>
      <c r="S24" s="231"/>
    </row>
    <row r="25" spans="1:19" s="6" customFormat="1" ht="30" customHeight="1" hidden="1">
      <c r="A25" s="157"/>
      <c r="B25" s="158" t="s">
        <v>180</v>
      </c>
      <c r="C25" s="159" t="s">
        <v>181</v>
      </c>
      <c r="D25" s="144">
        <f>D30</f>
        <v>5500</v>
      </c>
      <c r="E25" s="144">
        <f>E30</f>
        <v>3350.4</v>
      </c>
      <c r="F25" s="144">
        <f>F30</f>
        <v>5025.6</v>
      </c>
      <c r="G25" s="151"/>
      <c r="H25" s="144">
        <f>H26</f>
        <v>0</v>
      </c>
      <c r="I25" s="144">
        <f>H25/8*12</f>
        <v>0</v>
      </c>
      <c r="J25" s="145">
        <f t="shared" si="2"/>
        <v>0</v>
      </c>
      <c r="K25" s="149">
        <f t="shared" si="2"/>
        <v>0</v>
      </c>
      <c r="L25" s="150">
        <f t="shared" si="3"/>
        <v>0</v>
      </c>
      <c r="M25" s="148">
        <f aca="true" t="shared" si="7" ref="M25:P28">L25*1.058</f>
        <v>0</v>
      </c>
      <c r="N25" s="148">
        <f t="shared" si="7"/>
        <v>0</v>
      </c>
      <c r="O25" s="148">
        <f t="shared" si="7"/>
        <v>0</v>
      </c>
      <c r="P25" s="148">
        <f t="shared" si="7"/>
        <v>0</v>
      </c>
      <c r="S25" s="231"/>
    </row>
    <row r="26" spans="1:19" s="6" customFormat="1" ht="57.75" customHeight="1" hidden="1">
      <c r="A26" s="157"/>
      <c r="B26" s="158" t="s">
        <v>182</v>
      </c>
      <c r="C26" s="159" t="s">
        <v>183</v>
      </c>
      <c r="D26" s="144">
        <f>D30</f>
        <v>5500</v>
      </c>
      <c r="E26" s="144">
        <f>E30</f>
        <v>3350.4</v>
      </c>
      <c r="F26" s="144">
        <f>F30</f>
        <v>5025.6</v>
      </c>
      <c r="G26" s="151"/>
      <c r="H26" s="144">
        <f>H27</f>
        <v>0</v>
      </c>
      <c r="I26" s="144">
        <f>H26/8*12</f>
        <v>0</v>
      </c>
      <c r="J26" s="145">
        <f t="shared" si="2"/>
        <v>0</v>
      </c>
      <c r="K26" s="149">
        <f t="shared" si="2"/>
        <v>0</v>
      </c>
      <c r="L26" s="150">
        <f t="shared" si="3"/>
        <v>0</v>
      </c>
      <c r="M26" s="148">
        <f t="shared" si="7"/>
        <v>0</v>
      </c>
      <c r="N26" s="148">
        <f t="shared" si="7"/>
        <v>0</v>
      </c>
      <c r="O26" s="148">
        <f t="shared" si="7"/>
        <v>0</v>
      </c>
      <c r="P26" s="148">
        <f t="shared" si="7"/>
        <v>0</v>
      </c>
      <c r="S26" s="231"/>
    </row>
    <row r="27" spans="1:19" s="6" customFormat="1" ht="36" customHeight="1" hidden="1">
      <c r="A27" s="157"/>
      <c r="B27" s="158" t="s">
        <v>184</v>
      </c>
      <c r="C27" s="159" t="s">
        <v>185</v>
      </c>
      <c r="D27" s="144">
        <f>D30</f>
        <v>5500</v>
      </c>
      <c r="E27" s="144">
        <v>3350.4</v>
      </c>
      <c r="F27" s="144">
        <f>F30</f>
        <v>5025.6</v>
      </c>
      <c r="G27" s="151"/>
      <c r="H27" s="144">
        <f>H28</f>
        <v>0</v>
      </c>
      <c r="I27" s="144">
        <f>H27/8*12</f>
        <v>0</v>
      </c>
      <c r="J27" s="145">
        <f t="shared" si="2"/>
        <v>0</v>
      </c>
      <c r="K27" s="149">
        <f t="shared" si="2"/>
        <v>0</v>
      </c>
      <c r="L27" s="150">
        <f t="shared" si="3"/>
        <v>0</v>
      </c>
      <c r="M27" s="148">
        <f t="shared" si="7"/>
        <v>0</v>
      </c>
      <c r="N27" s="148">
        <f t="shared" si="7"/>
        <v>0</v>
      </c>
      <c r="O27" s="148">
        <f t="shared" si="7"/>
        <v>0</v>
      </c>
      <c r="P27" s="148">
        <f t="shared" si="7"/>
        <v>0</v>
      </c>
      <c r="S27" s="231"/>
    </row>
    <row r="28" spans="1:19" s="6" customFormat="1" ht="51" hidden="1">
      <c r="A28" s="157"/>
      <c r="B28" s="158" t="s">
        <v>186</v>
      </c>
      <c r="C28" s="159" t="s">
        <v>187</v>
      </c>
      <c r="D28" s="144">
        <v>5500</v>
      </c>
      <c r="E28" s="144">
        <v>3350.4</v>
      </c>
      <c r="F28" s="144">
        <f>E28/8*12</f>
        <v>5025.6</v>
      </c>
      <c r="G28" s="151"/>
      <c r="H28" s="144">
        <f>G28*1.05</f>
        <v>0</v>
      </c>
      <c r="I28" s="144">
        <f>H28/8*12</f>
        <v>0</v>
      </c>
      <c r="J28" s="145">
        <f t="shared" si="2"/>
        <v>0</v>
      </c>
      <c r="K28" s="149">
        <f t="shared" si="2"/>
        <v>0</v>
      </c>
      <c r="L28" s="150">
        <f t="shared" si="3"/>
        <v>0</v>
      </c>
      <c r="M28" s="148">
        <f t="shared" si="7"/>
        <v>0</v>
      </c>
      <c r="N28" s="148">
        <f t="shared" si="7"/>
        <v>0</v>
      </c>
      <c r="O28" s="148">
        <f t="shared" si="7"/>
        <v>0</v>
      </c>
      <c r="P28" s="148">
        <f t="shared" si="7"/>
        <v>0</v>
      </c>
      <c r="S28" s="231"/>
    </row>
    <row r="29" spans="1:19" s="6" customFormat="1" ht="64.5" customHeight="1">
      <c r="A29" s="141" t="s">
        <v>35</v>
      </c>
      <c r="B29" s="160" t="s">
        <v>111</v>
      </c>
      <c r="C29" s="143" t="s">
        <v>127</v>
      </c>
      <c r="D29" s="136"/>
      <c r="E29" s="136"/>
      <c r="F29" s="136"/>
      <c r="G29" s="144">
        <f aca="true" t="shared" si="8" ref="G29:I31">G30</f>
        <v>9251.4</v>
      </c>
      <c r="H29" s="144">
        <f t="shared" si="8"/>
        <v>6445.7</v>
      </c>
      <c r="I29" s="144">
        <f t="shared" si="8"/>
        <v>10000</v>
      </c>
      <c r="J29" s="145">
        <f>J30</f>
        <v>6734</v>
      </c>
      <c r="K29" s="149">
        <f t="shared" si="2"/>
        <v>7124.572</v>
      </c>
      <c r="L29" s="150">
        <f t="shared" si="3"/>
        <v>7516.42346</v>
      </c>
      <c r="M29" s="148">
        <f aca="true" t="shared" si="9" ref="M29:P31">M30</f>
        <v>2244.6666666666665</v>
      </c>
      <c r="N29" s="148">
        <f t="shared" si="9"/>
        <v>2244.6666666666665</v>
      </c>
      <c r="O29" s="148">
        <f t="shared" si="9"/>
        <v>2244.6666666666665</v>
      </c>
      <c r="P29" s="148">
        <f t="shared" si="9"/>
        <v>0</v>
      </c>
      <c r="S29" s="231"/>
    </row>
    <row r="30" spans="1:19" s="6" customFormat="1" ht="64.5" customHeight="1">
      <c r="A30" s="141" t="s">
        <v>36</v>
      </c>
      <c r="B30" s="160" t="s">
        <v>112</v>
      </c>
      <c r="C30" s="143" t="s">
        <v>101</v>
      </c>
      <c r="D30" s="144">
        <v>5500</v>
      </c>
      <c r="E30" s="144">
        <v>3350.4</v>
      </c>
      <c r="F30" s="144">
        <f>E30/8*12</f>
        <v>5025.6</v>
      </c>
      <c r="G30" s="144">
        <f t="shared" si="8"/>
        <v>9251.4</v>
      </c>
      <c r="H30" s="144">
        <f t="shared" si="8"/>
        <v>6445.7</v>
      </c>
      <c r="I30" s="144">
        <f>I31</f>
        <v>10000</v>
      </c>
      <c r="J30" s="145">
        <f>J31</f>
        <v>6734</v>
      </c>
      <c r="K30" s="149">
        <f t="shared" si="2"/>
        <v>7124.572</v>
      </c>
      <c r="L30" s="150">
        <f t="shared" si="3"/>
        <v>7516.42346</v>
      </c>
      <c r="M30" s="148">
        <f t="shared" si="9"/>
        <v>2244.6666666666665</v>
      </c>
      <c r="N30" s="148">
        <f t="shared" si="9"/>
        <v>2244.6666666666665</v>
      </c>
      <c r="O30" s="148">
        <f t="shared" si="9"/>
        <v>2244.6666666666665</v>
      </c>
      <c r="P30" s="148">
        <f t="shared" si="9"/>
        <v>0</v>
      </c>
      <c r="S30" s="231"/>
    </row>
    <row r="31" spans="1:19" s="6" customFormat="1" ht="84" customHeight="1">
      <c r="A31" s="141" t="s">
        <v>95</v>
      </c>
      <c r="B31" s="160" t="s">
        <v>166</v>
      </c>
      <c r="C31" s="143" t="s">
        <v>102</v>
      </c>
      <c r="D31" s="161">
        <f>D32</f>
        <v>3450</v>
      </c>
      <c r="E31" s="161">
        <f>E32</f>
        <v>1791.7</v>
      </c>
      <c r="F31" s="161">
        <f>F32</f>
        <v>2090</v>
      </c>
      <c r="G31" s="144">
        <f>G32</f>
        <v>9251.4</v>
      </c>
      <c r="H31" s="144">
        <f t="shared" si="8"/>
        <v>6445.7</v>
      </c>
      <c r="I31" s="144">
        <f>I32</f>
        <v>10000</v>
      </c>
      <c r="J31" s="145">
        <f>J32</f>
        <v>6734</v>
      </c>
      <c r="K31" s="149">
        <f t="shared" si="2"/>
        <v>7124.572</v>
      </c>
      <c r="L31" s="150">
        <f t="shared" si="3"/>
        <v>7516.42346</v>
      </c>
      <c r="M31" s="148">
        <f t="shared" si="9"/>
        <v>2244.6666666666665</v>
      </c>
      <c r="N31" s="148">
        <f t="shared" si="9"/>
        <v>2244.6666666666665</v>
      </c>
      <c r="O31" s="148">
        <f t="shared" si="9"/>
        <v>2244.6666666666665</v>
      </c>
      <c r="P31" s="148">
        <f t="shared" si="9"/>
        <v>0</v>
      </c>
      <c r="S31" s="231"/>
    </row>
    <row r="32" spans="1:19" s="6" customFormat="1" ht="64.5" customHeight="1">
      <c r="A32" s="141" t="s">
        <v>167</v>
      </c>
      <c r="B32" s="160" t="s">
        <v>146</v>
      </c>
      <c r="C32" s="143" t="s">
        <v>28</v>
      </c>
      <c r="D32" s="162">
        <f>D33</f>
        <v>3450</v>
      </c>
      <c r="E32" s="162">
        <f>E33</f>
        <v>1791.7</v>
      </c>
      <c r="F32" s="162">
        <f>F33</f>
        <v>2090</v>
      </c>
      <c r="G32" s="144">
        <f>9214.3+37.1</f>
        <v>9251.4</v>
      </c>
      <c r="H32" s="162">
        <v>6445.7</v>
      </c>
      <c r="I32" s="144">
        <v>10000</v>
      </c>
      <c r="J32" s="145">
        <v>6734</v>
      </c>
      <c r="K32" s="149">
        <f t="shared" si="2"/>
        <v>7124.572</v>
      </c>
      <c r="L32" s="150">
        <f t="shared" si="3"/>
        <v>7516.42346</v>
      </c>
      <c r="M32" s="148">
        <f>J32/3</f>
        <v>2244.6666666666665</v>
      </c>
      <c r="N32" s="148">
        <f>J32/3</f>
        <v>2244.6666666666665</v>
      </c>
      <c r="O32" s="148">
        <f>J32/3</f>
        <v>2244.6666666666665</v>
      </c>
      <c r="P32" s="148">
        <v>0</v>
      </c>
      <c r="S32" s="231"/>
    </row>
    <row r="33" spans="1:19" s="6" customFormat="1" ht="31.5" customHeight="1">
      <c r="A33" s="141" t="s">
        <v>168</v>
      </c>
      <c r="B33" s="160" t="s">
        <v>169</v>
      </c>
      <c r="C33" s="143" t="s">
        <v>193</v>
      </c>
      <c r="D33" s="144">
        <f>D34</f>
        <v>3450</v>
      </c>
      <c r="E33" s="144">
        <f>E34</f>
        <v>1791.7</v>
      </c>
      <c r="F33" s="144">
        <v>2090</v>
      </c>
      <c r="G33" s="144">
        <f aca="true" t="shared" si="10" ref="G33:P33">G34</f>
        <v>24</v>
      </c>
      <c r="H33" s="144">
        <f t="shared" si="10"/>
        <v>12</v>
      </c>
      <c r="I33" s="144">
        <f t="shared" si="10"/>
        <v>24</v>
      </c>
      <c r="J33" s="145">
        <f t="shared" si="10"/>
        <v>12</v>
      </c>
      <c r="K33" s="163">
        <f t="shared" si="10"/>
        <v>12.696000000000002</v>
      </c>
      <c r="L33" s="164">
        <f t="shared" si="10"/>
        <v>13.39428</v>
      </c>
      <c r="M33" s="148">
        <f t="shared" si="10"/>
        <v>3</v>
      </c>
      <c r="N33" s="148">
        <f t="shared" si="10"/>
        <v>3</v>
      </c>
      <c r="O33" s="148">
        <f t="shared" si="10"/>
        <v>3</v>
      </c>
      <c r="P33" s="148">
        <f t="shared" si="10"/>
        <v>3</v>
      </c>
      <c r="S33" s="231"/>
    </row>
    <row r="34" spans="1:19" s="6" customFormat="1" ht="77.25" customHeight="1">
      <c r="A34" s="141" t="s">
        <v>170</v>
      </c>
      <c r="B34" s="160" t="s">
        <v>171</v>
      </c>
      <c r="C34" s="143" t="s">
        <v>221</v>
      </c>
      <c r="D34" s="162">
        <v>3450</v>
      </c>
      <c r="E34" s="162">
        <v>1791.7</v>
      </c>
      <c r="F34" s="162">
        <v>2090</v>
      </c>
      <c r="G34" s="144">
        <v>24</v>
      </c>
      <c r="H34" s="162">
        <v>12</v>
      </c>
      <c r="I34" s="144">
        <v>24</v>
      </c>
      <c r="J34" s="145">
        <v>12</v>
      </c>
      <c r="K34" s="149">
        <f t="shared" si="2"/>
        <v>12.696000000000002</v>
      </c>
      <c r="L34" s="150">
        <f t="shared" si="3"/>
        <v>13.39428</v>
      </c>
      <c r="M34" s="148">
        <f>J34/4</f>
        <v>3</v>
      </c>
      <c r="N34" s="148">
        <f>J34/4</f>
        <v>3</v>
      </c>
      <c r="O34" s="148">
        <f>J34/4</f>
        <v>3</v>
      </c>
      <c r="P34" s="148">
        <f>J34/4</f>
        <v>3</v>
      </c>
      <c r="S34" s="231"/>
    </row>
    <row r="35" spans="1:19" s="6" customFormat="1" ht="26.25" hidden="1" thickBot="1">
      <c r="A35" s="165">
        <v>4</v>
      </c>
      <c r="B35" s="166" t="s">
        <v>26</v>
      </c>
      <c r="C35" s="167" t="s">
        <v>147</v>
      </c>
      <c r="D35" s="161">
        <f>D36</f>
        <v>140</v>
      </c>
      <c r="E35" s="161">
        <f aca="true" t="shared" si="11" ref="E35:H37">E36</f>
        <v>88</v>
      </c>
      <c r="F35" s="161">
        <f t="shared" si="11"/>
        <v>132</v>
      </c>
      <c r="G35" s="161">
        <f t="shared" si="11"/>
        <v>0</v>
      </c>
      <c r="H35" s="161">
        <f t="shared" si="11"/>
        <v>0</v>
      </c>
      <c r="I35" s="144">
        <f>H35/8*12</f>
        <v>0</v>
      </c>
      <c r="J35" s="145">
        <f t="shared" si="2"/>
        <v>0</v>
      </c>
      <c r="K35" s="149">
        <f t="shared" si="2"/>
        <v>0</v>
      </c>
      <c r="L35" s="150">
        <f t="shared" si="3"/>
        <v>0</v>
      </c>
      <c r="M35" s="148"/>
      <c r="N35" s="148"/>
      <c r="O35" s="148"/>
      <c r="P35" s="148"/>
      <c r="S35" s="231"/>
    </row>
    <row r="36" spans="1:19" s="6" customFormat="1" ht="31.5" customHeight="1" hidden="1">
      <c r="A36" s="168" t="s">
        <v>37</v>
      </c>
      <c r="B36" s="169" t="s">
        <v>148</v>
      </c>
      <c r="C36" s="170" t="s">
        <v>149</v>
      </c>
      <c r="D36" s="144">
        <f>D37</f>
        <v>140</v>
      </c>
      <c r="E36" s="144">
        <f t="shared" si="11"/>
        <v>88</v>
      </c>
      <c r="F36" s="144">
        <f t="shared" si="11"/>
        <v>132</v>
      </c>
      <c r="G36" s="162">
        <f t="shared" si="11"/>
        <v>0</v>
      </c>
      <c r="H36" s="144"/>
      <c r="I36" s="144">
        <f>H36/8*12</f>
        <v>0</v>
      </c>
      <c r="J36" s="145">
        <f t="shared" si="2"/>
        <v>0</v>
      </c>
      <c r="K36" s="149">
        <f t="shared" si="2"/>
        <v>0</v>
      </c>
      <c r="L36" s="150">
        <f t="shared" si="3"/>
        <v>0</v>
      </c>
      <c r="M36" s="148"/>
      <c r="N36" s="148"/>
      <c r="O36" s="148"/>
      <c r="P36" s="148"/>
      <c r="S36" s="231"/>
    </row>
    <row r="37" spans="1:19" s="5" customFormat="1" ht="44.25" customHeight="1" hidden="1">
      <c r="A37" s="168" t="s">
        <v>38</v>
      </c>
      <c r="B37" s="169" t="s">
        <v>150</v>
      </c>
      <c r="C37" s="170" t="s">
        <v>151</v>
      </c>
      <c r="D37" s="144">
        <f>D38+D43</f>
        <v>140</v>
      </c>
      <c r="E37" s="144">
        <v>88</v>
      </c>
      <c r="F37" s="144">
        <f>E37/8*12</f>
        <v>132</v>
      </c>
      <c r="G37" s="162">
        <f t="shared" si="11"/>
        <v>0</v>
      </c>
      <c r="H37" s="144"/>
      <c r="I37" s="144">
        <f>H37/8*12</f>
        <v>0</v>
      </c>
      <c r="J37" s="145">
        <f t="shared" si="2"/>
        <v>0</v>
      </c>
      <c r="K37" s="149">
        <f t="shared" si="2"/>
        <v>0</v>
      </c>
      <c r="L37" s="150">
        <f t="shared" si="3"/>
        <v>0</v>
      </c>
      <c r="M37" s="148"/>
      <c r="N37" s="148"/>
      <c r="O37" s="148"/>
      <c r="P37" s="148"/>
      <c r="S37" s="232"/>
    </row>
    <row r="38" spans="1:19" s="5" customFormat="1" ht="76.5" customHeight="1" hidden="1" thickBot="1">
      <c r="A38" s="168" t="s">
        <v>39</v>
      </c>
      <c r="B38" s="169" t="s">
        <v>152</v>
      </c>
      <c r="C38" s="170" t="s">
        <v>105</v>
      </c>
      <c r="D38" s="144">
        <v>125</v>
      </c>
      <c r="E38" s="144">
        <v>88</v>
      </c>
      <c r="F38" s="144">
        <f>E38/8*12</f>
        <v>132</v>
      </c>
      <c r="G38" s="162">
        <v>0</v>
      </c>
      <c r="H38" s="144"/>
      <c r="I38" s="144">
        <f>H38/8*12</f>
        <v>0</v>
      </c>
      <c r="J38" s="145">
        <f t="shared" si="2"/>
        <v>0</v>
      </c>
      <c r="K38" s="149">
        <f t="shared" si="2"/>
        <v>0</v>
      </c>
      <c r="L38" s="150">
        <f t="shared" si="3"/>
        <v>0</v>
      </c>
      <c r="M38" s="148"/>
      <c r="N38" s="148"/>
      <c r="O38" s="148"/>
      <c r="P38" s="148"/>
      <c r="S38" s="232"/>
    </row>
    <row r="39" spans="1:19" s="5" customFormat="1" ht="43.5" customHeight="1">
      <c r="A39" s="171" t="s">
        <v>172</v>
      </c>
      <c r="B39" s="166" t="s">
        <v>26</v>
      </c>
      <c r="C39" s="172" t="s">
        <v>205</v>
      </c>
      <c r="D39" s="144">
        <v>15</v>
      </c>
      <c r="E39" s="144">
        <v>0</v>
      </c>
      <c r="F39" s="144">
        <v>15</v>
      </c>
      <c r="G39" s="173">
        <f aca="true" t="shared" si="12" ref="G39:L41">G40</f>
        <v>0</v>
      </c>
      <c r="H39" s="173">
        <f t="shared" si="12"/>
        <v>0</v>
      </c>
      <c r="I39" s="173">
        <f t="shared" si="12"/>
        <v>1402.9</v>
      </c>
      <c r="J39" s="173">
        <f>J40+J44</f>
        <v>798.6</v>
      </c>
      <c r="K39" s="173">
        <f t="shared" si="12"/>
        <v>557.1428000000001</v>
      </c>
      <c r="L39" s="173">
        <f t="shared" si="12"/>
        <v>587.785654</v>
      </c>
      <c r="M39" s="174"/>
      <c r="N39" s="174"/>
      <c r="O39" s="174"/>
      <c r="P39" s="174"/>
      <c r="S39" s="232"/>
    </row>
    <row r="40" spans="1:19" s="5" customFormat="1" ht="31.5" customHeight="1">
      <c r="A40" s="175" t="s">
        <v>37</v>
      </c>
      <c r="B40" s="160" t="s">
        <v>206</v>
      </c>
      <c r="C40" s="176" t="s">
        <v>207</v>
      </c>
      <c r="D40" s="144" t="e">
        <f>D41+#REF!</f>
        <v>#REF!</v>
      </c>
      <c r="E40" s="144" t="e">
        <f>E41+#REF!</f>
        <v>#REF!</v>
      </c>
      <c r="F40" s="144" t="e">
        <f>F41+#REF!</f>
        <v>#REF!</v>
      </c>
      <c r="G40" s="145">
        <f t="shared" si="12"/>
        <v>0</v>
      </c>
      <c r="H40" s="145">
        <f t="shared" si="12"/>
        <v>0</v>
      </c>
      <c r="I40" s="145">
        <f t="shared" si="12"/>
        <v>1402.9</v>
      </c>
      <c r="J40" s="145">
        <f t="shared" si="12"/>
        <v>526.6</v>
      </c>
      <c r="K40" s="137">
        <f t="shared" si="12"/>
        <v>557.1428000000001</v>
      </c>
      <c r="L40" s="137">
        <f t="shared" si="12"/>
        <v>587.785654</v>
      </c>
      <c r="M40" s="174"/>
      <c r="N40" s="174"/>
      <c r="O40" s="174"/>
      <c r="P40" s="174"/>
      <c r="R40" s="226">
        <f>(J9+J50)*0.233</f>
        <v>21211.807399999998</v>
      </c>
      <c r="S40" s="232"/>
    </row>
    <row r="41" spans="1:19" s="5" customFormat="1" ht="45" customHeight="1">
      <c r="A41" s="175" t="s">
        <v>38</v>
      </c>
      <c r="B41" s="160" t="s">
        <v>208</v>
      </c>
      <c r="C41" s="177" t="s">
        <v>209</v>
      </c>
      <c r="D41" s="161">
        <f>D42+D51+D48</f>
        <v>11683.4</v>
      </c>
      <c r="E41" s="161">
        <f>E42+E51+E48</f>
        <v>8755.2</v>
      </c>
      <c r="F41" s="161">
        <f>F42+F51+F48</f>
        <v>11683.4</v>
      </c>
      <c r="G41" s="145">
        <f>G42</f>
        <v>0</v>
      </c>
      <c r="H41" s="145">
        <f>H42</f>
        <v>0</v>
      </c>
      <c r="I41" s="145">
        <f t="shared" si="12"/>
        <v>1402.9</v>
      </c>
      <c r="J41" s="145">
        <f t="shared" si="12"/>
        <v>526.6</v>
      </c>
      <c r="K41" s="145">
        <f t="shared" si="12"/>
        <v>557.1428000000001</v>
      </c>
      <c r="L41" s="145">
        <f t="shared" si="12"/>
        <v>587.785654</v>
      </c>
      <c r="M41" s="174"/>
      <c r="N41" s="174"/>
      <c r="O41" s="174"/>
      <c r="P41" s="174"/>
      <c r="S41" s="232"/>
    </row>
    <row r="42" spans="1:19" s="4" customFormat="1" ht="73.5" customHeight="1">
      <c r="A42" s="175" t="s">
        <v>39</v>
      </c>
      <c r="B42" s="160" t="s">
        <v>210</v>
      </c>
      <c r="C42" s="177" t="s">
        <v>105</v>
      </c>
      <c r="D42" s="178">
        <f>D47</f>
        <v>5841.7</v>
      </c>
      <c r="E42" s="178">
        <f>E47</f>
        <v>4377.6</v>
      </c>
      <c r="F42" s="178">
        <f>F47</f>
        <v>5841.7</v>
      </c>
      <c r="G42" s="145">
        <v>0</v>
      </c>
      <c r="H42" s="145">
        <v>0</v>
      </c>
      <c r="I42" s="145">
        <v>1402.9</v>
      </c>
      <c r="J42" s="145">
        <v>526.6</v>
      </c>
      <c r="K42" s="145">
        <f>J42*1.058</f>
        <v>557.1428000000001</v>
      </c>
      <c r="L42" s="145">
        <f>K42*1.055</f>
        <v>587.785654</v>
      </c>
      <c r="M42" s="179"/>
      <c r="N42" s="179"/>
      <c r="O42" s="179"/>
      <c r="P42" s="179"/>
      <c r="S42" s="230"/>
    </row>
    <row r="43" spans="1:19" s="5" customFormat="1" ht="24.75" customHeight="1" hidden="1" thickBot="1">
      <c r="A43" s="133" t="s">
        <v>172</v>
      </c>
      <c r="B43" s="134" t="s">
        <v>14</v>
      </c>
      <c r="C43" s="135" t="s">
        <v>13</v>
      </c>
      <c r="D43" s="180">
        <v>15</v>
      </c>
      <c r="E43" s="180">
        <v>0</v>
      </c>
      <c r="F43" s="180">
        <v>15</v>
      </c>
      <c r="G43" s="136">
        <f aca="true" t="shared" si="13" ref="G43:P44">G44</f>
        <v>30</v>
      </c>
      <c r="H43" s="136">
        <f t="shared" si="13"/>
        <v>19.8</v>
      </c>
      <c r="I43" s="136">
        <f t="shared" si="13"/>
        <v>35</v>
      </c>
      <c r="J43" s="137">
        <f t="shared" si="13"/>
        <v>272</v>
      </c>
      <c r="K43" s="181">
        <f t="shared" si="13"/>
        <v>287.776</v>
      </c>
      <c r="L43" s="182">
        <f t="shared" si="13"/>
        <v>303.60368</v>
      </c>
      <c r="M43" s="140">
        <f t="shared" si="13"/>
        <v>68</v>
      </c>
      <c r="N43" s="140">
        <f t="shared" si="13"/>
        <v>68</v>
      </c>
      <c r="O43" s="140">
        <f t="shared" si="13"/>
        <v>68</v>
      </c>
      <c r="P43" s="140">
        <f t="shared" si="13"/>
        <v>68</v>
      </c>
      <c r="S43" s="232"/>
    </row>
    <row r="44" spans="1:19" s="5" customFormat="1" ht="30" customHeight="1">
      <c r="A44" s="141" t="s">
        <v>217</v>
      </c>
      <c r="B44" s="160" t="s">
        <v>19</v>
      </c>
      <c r="C44" s="183" t="s">
        <v>23</v>
      </c>
      <c r="D44" s="128" t="e">
        <f>D45+#REF!</f>
        <v>#REF!</v>
      </c>
      <c r="E44" s="128" t="e">
        <f>E45+#REF!</f>
        <v>#REF!</v>
      </c>
      <c r="F44" s="128" t="e">
        <f>F45+#REF!</f>
        <v>#REF!</v>
      </c>
      <c r="G44" s="144">
        <f t="shared" si="13"/>
        <v>30</v>
      </c>
      <c r="H44" s="144">
        <f t="shared" si="13"/>
        <v>19.8</v>
      </c>
      <c r="I44" s="144">
        <f t="shared" si="13"/>
        <v>35</v>
      </c>
      <c r="J44" s="145">
        <f t="shared" si="13"/>
        <v>272</v>
      </c>
      <c r="K44" s="184">
        <f t="shared" si="13"/>
        <v>287.776</v>
      </c>
      <c r="L44" s="147">
        <f t="shared" si="13"/>
        <v>303.60368</v>
      </c>
      <c r="M44" s="148">
        <f t="shared" si="13"/>
        <v>68</v>
      </c>
      <c r="N44" s="148">
        <f t="shared" si="13"/>
        <v>68</v>
      </c>
      <c r="O44" s="148">
        <f t="shared" si="13"/>
        <v>68</v>
      </c>
      <c r="P44" s="148">
        <f t="shared" si="13"/>
        <v>68</v>
      </c>
      <c r="S44" s="232"/>
    </row>
    <row r="45" spans="1:19" s="5" customFormat="1" ht="57" customHeight="1">
      <c r="A45" s="141" t="s">
        <v>218</v>
      </c>
      <c r="B45" s="160" t="s">
        <v>22</v>
      </c>
      <c r="C45" s="183" t="s">
        <v>216</v>
      </c>
      <c r="D45" s="161">
        <f>D46+D52+D49</f>
        <v>6635.2</v>
      </c>
      <c r="E45" s="161">
        <f>E46+E52+E49</f>
        <v>4901.8</v>
      </c>
      <c r="F45" s="161">
        <f>F46+F52+F49</f>
        <v>6635.2</v>
      </c>
      <c r="G45" s="144">
        <f aca="true" t="shared" si="14" ref="G45:L45">G46+G47</f>
        <v>30</v>
      </c>
      <c r="H45" s="144">
        <f t="shared" si="14"/>
        <v>19.8</v>
      </c>
      <c r="I45" s="144">
        <f t="shared" si="14"/>
        <v>35</v>
      </c>
      <c r="J45" s="145">
        <f t="shared" si="14"/>
        <v>272</v>
      </c>
      <c r="K45" s="185">
        <f t="shared" si="14"/>
        <v>287.776</v>
      </c>
      <c r="L45" s="186">
        <f t="shared" si="14"/>
        <v>303.60368</v>
      </c>
      <c r="M45" s="148">
        <f>M46+M47</f>
        <v>68</v>
      </c>
      <c r="N45" s="148">
        <f>N46+N47</f>
        <v>68</v>
      </c>
      <c r="O45" s="148">
        <f>O46+O47</f>
        <v>68</v>
      </c>
      <c r="P45" s="148">
        <f>P46+P47</f>
        <v>68</v>
      </c>
      <c r="Q45" s="112"/>
      <c r="S45" s="232"/>
    </row>
    <row r="46" spans="1:19" s="4" customFormat="1" ht="53.25" customHeight="1" thickBot="1">
      <c r="A46" s="141" t="s">
        <v>219</v>
      </c>
      <c r="B46" s="142" t="s">
        <v>114</v>
      </c>
      <c r="C46" s="183" t="s">
        <v>128</v>
      </c>
      <c r="D46" s="178">
        <f>D48</f>
        <v>5841.7</v>
      </c>
      <c r="E46" s="178">
        <f>E48</f>
        <v>4377.6</v>
      </c>
      <c r="F46" s="178">
        <f>F48</f>
        <v>5841.7</v>
      </c>
      <c r="G46" s="144">
        <v>20</v>
      </c>
      <c r="H46" s="144">
        <v>19.8</v>
      </c>
      <c r="I46" s="144">
        <v>30</v>
      </c>
      <c r="J46" s="145">
        <f>10+262</f>
        <v>272</v>
      </c>
      <c r="K46" s="149">
        <f t="shared" si="2"/>
        <v>287.776</v>
      </c>
      <c r="L46" s="150">
        <f t="shared" si="3"/>
        <v>303.60368</v>
      </c>
      <c r="M46" s="148">
        <f>J46/4</f>
        <v>68</v>
      </c>
      <c r="N46" s="148">
        <f>J46/4</f>
        <v>68</v>
      </c>
      <c r="O46" s="148">
        <f>J46/4</f>
        <v>68</v>
      </c>
      <c r="P46" s="148">
        <f>J46/4</f>
        <v>68</v>
      </c>
      <c r="S46" s="230"/>
    </row>
    <row r="47" spans="1:19" s="6" customFormat="1" ht="61.5" customHeight="1" hidden="1" thickBot="1">
      <c r="A47" s="141" t="s">
        <v>220</v>
      </c>
      <c r="B47" s="142" t="s">
        <v>117</v>
      </c>
      <c r="C47" s="143" t="s">
        <v>129</v>
      </c>
      <c r="D47" s="178">
        <f>D48</f>
        <v>5841.7</v>
      </c>
      <c r="E47" s="178">
        <f>E48</f>
        <v>4377.6</v>
      </c>
      <c r="F47" s="178">
        <f>F48</f>
        <v>5841.7</v>
      </c>
      <c r="G47" s="144">
        <v>10</v>
      </c>
      <c r="H47" s="144">
        <v>0</v>
      </c>
      <c r="I47" s="144">
        <v>5</v>
      </c>
      <c r="J47" s="145">
        <v>0</v>
      </c>
      <c r="K47" s="149">
        <f t="shared" si="2"/>
        <v>0</v>
      </c>
      <c r="L47" s="150">
        <f t="shared" si="3"/>
        <v>0</v>
      </c>
      <c r="M47" s="144">
        <v>0</v>
      </c>
      <c r="N47" s="144">
        <v>0</v>
      </c>
      <c r="O47" s="144">
        <v>0</v>
      </c>
      <c r="P47" s="144">
        <v>0</v>
      </c>
      <c r="S47" s="231"/>
    </row>
    <row r="48" spans="1:19" s="6" customFormat="1" ht="50.25" customHeight="1" thickBot="1">
      <c r="A48" s="125" t="s">
        <v>18</v>
      </c>
      <c r="B48" s="126" t="s">
        <v>15</v>
      </c>
      <c r="C48" s="127" t="s">
        <v>115</v>
      </c>
      <c r="D48" s="187">
        <v>5841.7</v>
      </c>
      <c r="E48" s="187">
        <v>4377.6</v>
      </c>
      <c r="F48" s="187">
        <v>5841.7</v>
      </c>
      <c r="G48" s="128">
        <f aca="true" t="shared" si="15" ref="G48:P48">G49</f>
        <v>22002.800000000003</v>
      </c>
      <c r="H48" s="128">
        <f t="shared" si="15"/>
        <v>6463.3</v>
      </c>
      <c r="I48" s="128">
        <f t="shared" si="15"/>
        <v>19569.800000000003</v>
      </c>
      <c r="J48" s="129">
        <f t="shared" si="15"/>
        <v>66122.9</v>
      </c>
      <c r="K48" s="188">
        <f t="shared" si="15"/>
        <v>60474.2</v>
      </c>
      <c r="L48" s="189">
        <f t="shared" si="15"/>
        <v>60616</v>
      </c>
      <c r="M48" s="132">
        <f t="shared" si="15"/>
        <v>16530.725</v>
      </c>
      <c r="N48" s="132">
        <f t="shared" si="15"/>
        <v>16530.725</v>
      </c>
      <c r="O48" s="132">
        <f t="shared" si="15"/>
        <v>16530.725</v>
      </c>
      <c r="P48" s="132">
        <f t="shared" si="15"/>
        <v>16530.725</v>
      </c>
      <c r="S48" s="231"/>
    </row>
    <row r="49" spans="1:19" s="6" customFormat="1" ht="42.75" customHeight="1" thickBot="1">
      <c r="A49" s="133">
        <v>5</v>
      </c>
      <c r="B49" s="134" t="s">
        <v>107</v>
      </c>
      <c r="C49" s="135" t="s">
        <v>194</v>
      </c>
      <c r="D49" s="136">
        <v>0</v>
      </c>
      <c r="E49" s="136">
        <v>0</v>
      </c>
      <c r="F49" s="136">
        <v>0</v>
      </c>
      <c r="G49" s="136">
        <f aca="true" t="shared" si="16" ref="G49:P49">G50+G56+G53</f>
        <v>22002.800000000003</v>
      </c>
      <c r="H49" s="136">
        <f t="shared" si="16"/>
        <v>6463.3</v>
      </c>
      <c r="I49" s="136">
        <f t="shared" si="16"/>
        <v>19569.800000000003</v>
      </c>
      <c r="J49" s="137">
        <f>J50+J56+J53</f>
        <v>66122.9</v>
      </c>
      <c r="K49" s="190">
        <f t="shared" si="16"/>
        <v>60474.2</v>
      </c>
      <c r="L49" s="191">
        <f t="shared" si="16"/>
        <v>60616</v>
      </c>
      <c r="M49" s="140">
        <f t="shared" si="16"/>
        <v>16530.725</v>
      </c>
      <c r="N49" s="140">
        <f t="shared" si="16"/>
        <v>16530.725</v>
      </c>
      <c r="O49" s="140">
        <f t="shared" si="16"/>
        <v>16530.725</v>
      </c>
      <c r="P49" s="140">
        <f t="shared" si="16"/>
        <v>16530.725</v>
      </c>
      <c r="S49" s="231"/>
    </row>
    <row r="50" spans="1:19" s="5" customFormat="1" ht="36.75" customHeight="1">
      <c r="A50" s="141" t="s">
        <v>40</v>
      </c>
      <c r="B50" s="142" t="s">
        <v>27</v>
      </c>
      <c r="C50" s="143" t="s">
        <v>108</v>
      </c>
      <c r="D50" s="144">
        <f>D51</f>
        <v>0</v>
      </c>
      <c r="E50" s="144">
        <f>E51</f>
        <v>0</v>
      </c>
      <c r="F50" s="144">
        <f>F51</f>
        <v>0</v>
      </c>
      <c r="G50" s="144">
        <f aca="true" t="shared" si="17" ref="G50:L50">G52</f>
        <v>8472</v>
      </c>
      <c r="H50" s="144">
        <f t="shared" si="17"/>
        <v>5648</v>
      </c>
      <c r="I50" s="144">
        <f>H50/8*12</f>
        <v>8472</v>
      </c>
      <c r="J50" s="145">
        <f t="shared" si="17"/>
        <v>64592.2</v>
      </c>
      <c r="K50" s="192">
        <f t="shared" si="17"/>
        <v>58000</v>
      </c>
      <c r="L50" s="193">
        <f t="shared" si="17"/>
        <v>58000</v>
      </c>
      <c r="M50" s="148">
        <f>M52</f>
        <v>16148.05</v>
      </c>
      <c r="N50" s="148">
        <f>N52</f>
        <v>16148.05</v>
      </c>
      <c r="O50" s="148">
        <f>O52</f>
        <v>16148.05</v>
      </c>
      <c r="P50" s="148">
        <f>P52</f>
        <v>16148.05</v>
      </c>
      <c r="S50" s="232"/>
    </row>
    <row r="51" spans="1:19" s="5" customFormat="1" ht="63" customHeight="1">
      <c r="A51" s="141" t="s">
        <v>42</v>
      </c>
      <c r="B51" s="142" t="s">
        <v>30</v>
      </c>
      <c r="C51" s="143" t="s">
        <v>109</v>
      </c>
      <c r="D51" s="144">
        <v>0</v>
      </c>
      <c r="E51" s="144">
        <v>0</v>
      </c>
      <c r="F51" s="144">
        <v>0</v>
      </c>
      <c r="G51" s="144">
        <f aca="true" t="shared" si="18" ref="G51:P51">G52</f>
        <v>8472</v>
      </c>
      <c r="H51" s="144">
        <f t="shared" si="18"/>
        <v>5648</v>
      </c>
      <c r="I51" s="144">
        <f>H51/8*12</f>
        <v>8472</v>
      </c>
      <c r="J51" s="145">
        <f t="shared" si="18"/>
        <v>64592.2</v>
      </c>
      <c r="K51" s="194">
        <f t="shared" si="18"/>
        <v>58000</v>
      </c>
      <c r="L51" s="195">
        <f t="shared" si="18"/>
        <v>58000</v>
      </c>
      <c r="M51" s="148">
        <f t="shared" si="18"/>
        <v>16148.05</v>
      </c>
      <c r="N51" s="148">
        <f t="shared" si="18"/>
        <v>16148.05</v>
      </c>
      <c r="O51" s="148">
        <f t="shared" si="18"/>
        <v>16148.05</v>
      </c>
      <c r="P51" s="148">
        <f t="shared" si="18"/>
        <v>16148.05</v>
      </c>
      <c r="S51" s="232"/>
    </row>
    <row r="52" spans="1:19" s="5" customFormat="1" ht="57" customHeight="1" thickBot="1">
      <c r="A52" s="141" t="s">
        <v>106</v>
      </c>
      <c r="B52" s="142" t="s">
        <v>29</v>
      </c>
      <c r="C52" s="143" t="s">
        <v>134</v>
      </c>
      <c r="D52" s="196">
        <f>D53+D57</f>
        <v>793.5000000000001</v>
      </c>
      <c r="E52" s="196">
        <f>E53+E57</f>
        <v>524.2</v>
      </c>
      <c r="F52" s="196">
        <f>F53+F57</f>
        <v>793.5000000000001</v>
      </c>
      <c r="G52" s="144">
        <v>8472</v>
      </c>
      <c r="H52" s="144">
        <v>5648</v>
      </c>
      <c r="I52" s="144">
        <f>H52/8*12</f>
        <v>8472</v>
      </c>
      <c r="J52" s="145">
        <v>64592.2</v>
      </c>
      <c r="K52" s="197">
        <v>58000</v>
      </c>
      <c r="L52" s="198">
        <v>58000</v>
      </c>
      <c r="M52" s="148">
        <f>J52/4</f>
        <v>16148.05</v>
      </c>
      <c r="N52" s="148">
        <f>J52/4</f>
        <v>16148.05</v>
      </c>
      <c r="O52" s="148">
        <f>J52/4</f>
        <v>16148.05</v>
      </c>
      <c r="P52" s="148">
        <f>J52/4</f>
        <v>16148.05</v>
      </c>
      <c r="S52" s="232"/>
    </row>
    <row r="53" spans="1:19" s="5" customFormat="1" ht="53.25" customHeight="1" hidden="1" thickBot="1">
      <c r="A53" s="133">
        <v>6</v>
      </c>
      <c r="B53" s="134" t="s">
        <v>140</v>
      </c>
      <c r="C53" s="135" t="s">
        <v>195</v>
      </c>
      <c r="D53" s="180">
        <f>D54</f>
        <v>565.4000000000001</v>
      </c>
      <c r="E53" s="180">
        <f aca="true" t="shared" si="19" ref="E53:L54">E54</f>
        <v>410.1</v>
      </c>
      <c r="F53" s="180">
        <f t="shared" si="19"/>
        <v>565.4000000000001</v>
      </c>
      <c r="G53" s="136">
        <f t="shared" si="19"/>
        <v>11982.7</v>
      </c>
      <c r="H53" s="136">
        <f t="shared" si="19"/>
        <v>0</v>
      </c>
      <c r="I53" s="136">
        <f t="shared" si="19"/>
        <v>9982.7</v>
      </c>
      <c r="J53" s="137">
        <f t="shared" si="19"/>
        <v>0</v>
      </c>
      <c r="K53" s="181">
        <f t="shared" si="19"/>
        <v>0</v>
      </c>
      <c r="L53" s="182">
        <f t="shared" si="19"/>
        <v>0</v>
      </c>
      <c r="M53" s="140">
        <v>0</v>
      </c>
      <c r="N53" s="140">
        <v>0</v>
      </c>
      <c r="O53" s="140">
        <v>0</v>
      </c>
      <c r="P53" s="140">
        <v>0</v>
      </c>
      <c r="S53" s="232"/>
    </row>
    <row r="54" spans="1:19" s="6" customFormat="1" ht="13.5" hidden="1" thickBot="1">
      <c r="A54" s="199" t="s">
        <v>96</v>
      </c>
      <c r="B54" s="200" t="s">
        <v>141</v>
      </c>
      <c r="C54" s="201" t="s">
        <v>142</v>
      </c>
      <c r="D54" s="162">
        <f>D55+D56</f>
        <v>565.4000000000001</v>
      </c>
      <c r="E54" s="162">
        <f>E55+E56</f>
        <v>410.1</v>
      </c>
      <c r="F54" s="162">
        <f>F55+F56</f>
        <v>565.4000000000001</v>
      </c>
      <c r="G54" s="162">
        <f t="shared" si="19"/>
        <v>11982.7</v>
      </c>
      <c r="H54" s="162">
        <f t="shared" si="19"/>
        <v>0</v>
      </c>
      <c r="I54" s="162">
        <f t="shared" si="19"/>
        <v>9982.7</v>
      </c>
      <c r="J54" s="202">
        <f t="shared" si="19"/>
        <v>0</v>
      </c>
      <c r="K54" s="203">
        <f t="shared" si="19"/>
        <v>0</v>
      </c>
      <c r="L54" s="204">
        <f t="shared" si="19"/>
        <v>0</v>
      </c>
      <c r="M54" s="148">
        <v>0</v>
      </c>
      <c r="N54" s="148">
        <v>0</v>
      </c>
      <c r="O54" s="148">
        <v>0</v>
      </c>
      <c r="P54" s="148">
        <v>0</v>
      </c>
      <c r="S54" s="231"/>
    </row>
    <row r="55" spans="1:16" ht="53.25" customHeight="1" hidden="1" thickBot="1">
      <c r="A55" s="141" t="s">
        <v>20</v>
      </c>
      <c r="B55" s="142" t="s">
        <v>143</v>
      </c>
      <c r="C55" s="143" t="s">
        <v>144</v>
      </c>
      <c r="D55" s="144">
        <v>552.7</v>
      </c>
      <c r="E55" s="144">
        <v>410.1</v>
      </c>
      <c r="F55" s="144">
        <v>552.7</v>
      </c>
      <c r="G55" s="162">
        <v>11982.7</v>
      </c>
      <c r="H55" s="162">
        <v>0</v>
      </c>
      <c r="I55" s="144">
        <v>9982.7</v>
      </c>
      <c r="J55" s="202">
        <v>0</v>
      </c>
      <c r="K55" s="205"/>
      <c r="L55" s="206"/>
      <c r="M55" s="148">
        <v>0</v>
      </c>
      <c r="N55" s="148">
        <v>0</v>
      </c>
      <c r="O55" s="148">
        <v>0</v>
      </c>
      <c r="P55" s="148">
        <v>0</v>
      </c>
    </row>
    <row r="56" spans="1:16" ht="42" customHeight="1" thickBot="1">
      <c r="A56" s="133">
        <v>7</v>
      </c>
      <c r="B56" s="134" t="s">
        <v>44</v>
      </c>
      <c r="C56" s="135" t="s">
        <v>196</v>
      </c>
      <c r="D56" s="180">
        <v>12.7</v>
      </c>
      <c r="E56" s="180">
        <v>0</v>
      </c>
      <c r="F56" s="180">
        <v>12.7</v>
      </c>
      <c r="G56" s="136">
        <f aca="true" t="shared" si="20" ref="G56:L56">G57+G61</f>
        <v>1548.1</v>
      </c>
      <c r="H56" s="136">
        <f t="shared" si="20"/>
        <v>815.3</v>
      </c>
      <c r="I56" s="136">
        <f t="shared" si="20"/>
        <v>1115.1</v>
      </c>
      <c r="J56" s="137">
        <f>J57+J61</f>
        <v>1530.7</v>
      </c>
      <c r="K56" s="181">
        <f t="shared" si="20"/>
        <v>2474.2</v>
      </c>
      <c r="L56" s="182">
        <f t="shared" si="20"/>
        <v>2616</v>
      </c>
      <c r="M56" s="140">
        <f>M57+M61</f>
        <v>382.675</v>
      </c>
      <c r="N56" s="140">
        <f>N57+N61</f>
        <v>382.675</v>
      </c>
      <c r="O56" s="140">
        <f>O57+O61</f>
        <v>382.675</v>
      </c>
      <c r="P56" s="140">
        <f>P57+P61</f>
        <v>382.675</v>
      </c>
    </row>
    <row r="57" spans="1:16" ht="43.5" customHeight="1">
      <c r="A57" s="168" t="s">
        <v>110</v>
      </c>
      <c r="B57" s="169" t="s">
        <v>46</v>
      </c>
      <c r="C57" s="170" t="s">
        <v>45</v>
      </c>
      <c r="D57" s="178">
        <f>D59</f>
        <v>228.1</v>
      </c>
      <c r="E57" s="178">
        <f>E59</f>
        <v>114.1</v>
      </c>
      <c r="F57" s="178">
        <f>F59</f>
        <v>228.1</v>
      </c>
      <c r="G57" s="162">
        <f aca="true" t="shared" si="21" ref="G57:P57">G58</f>
        <v>662.2</v>
      </c>
      <c r="H57" s="162">
        <f t="shared" si="21"/>
        <v>485.4</v>
      </c>
      <c r="I57" s="144">
        <f>H57/8*12</f>
        <v>728.0999999999999</v>
      </c>
      <c r="J57" s="202">
        <f t="shared" si="21"/>
        <v>804.2</v>
      </c>
      <c r="K57" s="203">
        <f t="shared" si="21"/>
        <v>740.1</v>
      </c>
      <c r="L57" s="204">
        <f t="shared" si="21"/>
        <v>780.8</v>
      </c>
      <c r="M57" s="148">
        <f t="shared" si="21"/>
        <v>201.05</v>
      </c>
      <c r="N57" s="148">
        <f t="shared" si="21"/>
        <v>201.05</v>
      </c>
      <c r="O57" s="148">
        <f t="shared" si="21"/>
        <v>201.05</v>
      </c>
      <c r="P57" s="148">
        <f t="shared" si="21"/>
        <v>201.05</v>
      </c>
    </row>
    <row r="58" spans="1:16" ht="64.5" customHeight="1">
      <c r="A58" s="168" t="s">
        <v>41</v>
      </c>
      <c r="B58" s="169" t="s">
        <v>47</v>
      </c>
      <c r="C58" s="170" t="s">
        <v>173</v>
      </c>
      <c r="D58" s="144">
        <v>228.1</v>
      </c>
      <c r="E58" s="144">
        <v>114.1</v>
      </c>
      <c r="F58" s="144">
        <v>228.1</v>
      </c>
      <c r="G58" s="162">
        <f aca="true" t="shared" si="22" ref="G58:L58">G59+G60</f>
        <v>662.2</v>
      </c>
      <c r="H58" s="162">
        <f t="shared" si="22"/>
        <v>485.4</v>
      </c>
      <c r="I58" s="162">
        <f t="shared" si="22"/>
        <v>662.2</v>
      </c>
      <c r="J58" s="202">
        <f>J59</f>
        <v>804.2</v>
      </c>
      <c r="K58" s="207">
        <f t="shared" si="22"/>
        <v>740.1</v>
      </c>
      <c r="L58" s="208">
        <f t="shared" si="22"/>
        <v>780.8</v>
      </c>
      <c r="M58" s="148">
        <f>J58/4</f>
        <v>201.05</v>
      </c>
      <c r="N58" s="148">
        <f>J58/4</f>
        <v>201.05</v>
      </c>
      <c r="O58" s="148">
        <f>J58/4</f>
        <v>201.05</v>
      </c>
      <c r="P58" s="148">
        <f>J58/4</f>
        <v>201.05</v>
      </c>
    </row>
    <row r="59" spans="1:16" ht="68.25" customHeight="1">
      <c r="A59" s="141" t="s">
        <v>163</v>
      </c>
      <c r="B59" s="142" t="s">
        <v>89</v>
      </c>
      <c r="C59" s="209" t="s">
        <v>174</v>
      </c>
      <c r="D59" s="144">
        <v>228.1</v>
      </c>
      <c r="E59" s="144">
        <v>114.1</v>
      </c>
      <c r="F59" s="144">
        <v>228.1</v>
      </c>
      <c r="G59" s="162">
        <v>657.2</v>
      </c>
      <c r="H59" s="144">
        <v>485.4</v>
      </c>
      <c r="I59" s="144">
        <v>657.2</v>
      </c>
      <c r="J59" s="145">
        <v>804.2</v>
      </c>
      <c r="K59" s="185">
        <v>740.1</v>
      </c>
      <c r="L59" s="186">
        <v>780.8</v>
      </c>
      <c r="M59" s="148">
        <f>J59/4</f>
        <v>201.05</v>
      </c>
      <c r="N59" s="148">
        <f>J59/4</f>
        <v>201.05</v>
      </c>
      <c r="O59" s="148">
        <f>J59/4</f>
        <v>201.05</v>
      </c>
      <c r="P59" s="148">
        <f>J59/4</f>
        <v>201.05</v>
      </c>
    </row>
    <row r="60" spans="1:16" ht="93" customHeight="1" thickBot="1">
      <c r="A60" s="141" t="s">
        <v>175</v>
      </c>
      <c r="B60" s="142" t="s">
        <v>86</v>
      </c>
      <c r="C60" s="209" t="s">
        <v>176</v>
      </c>
      <c r="D60" s="144">
        <v>228.1</v>
      </c>
      <c r="E60" s="144">
        <v>114.1</v>
      </c>
      <c r="F60" s="144">
        <v>228.1</v>
      </c>
      <c r="G60" s="144">
        <v>5</v>
      </c>
      <c r="H60" s="144"/>
      <c r="I60" s="144">
        <v>5</v>
      </c>
      <c r="J60" s="145">
        <v>5.9</v>
      </c>
      <c r="K60" s="210"/>
      <c r="L60" s="211"/>
      <c r="M60" s="148">
        <f>J60/4</f>
        <v>1.475</v>
      </c>
      <c r="N60" s="148">
        <f>J60/4</f>
        <v>1.475</v>
      </c>
      <c r="O60" s="148">
        <f>J60/4</f>
        <v>1.475</v>
      </c>
      <c r="P60" s="148">
        <f>J60/4</f>
        <v>1.475</v>
      </c>
    </row>
    <row r="61" spans="1:16" ht="52.5" customHeight="1" thickBot="1">
      <c r="A61" s="141" t="s">
        <v>197</v>
      </c>
      <c r="B61" s="142" t="s">
        <v>43</v>
      </c>
      <c r="C61" s="209" t="s">
        <v>177</v>
      </c>
      <c r="D61" s="145" t="e">
        <f>D9+D44</f>
        <v>#REF!</v>
      </c>
      <c r="E61" s="145" t="e">
        <f>E9+E44</f>
        <v>#REF!</v>
      </c>
      <c r="F61" s="145" t="e">
        <f>F9+F44</f>
        <v>#REF!</v>
      </c>
      <c r="G61" s="144">
        <f aca="true" t="shared" si="23" ref="G61:L61">G63+G64</f>
        <v>885.9</v>
      </c>
      <c r="H61" s="144">
        <f t="shared" si="23"/>
        <v>329.9</v>
      </c>
      <c r="I61" s="144">
        <f t="shared" si="23"/>
        <v>387</v>
      </c>
      <c r="J61" s="145">
        <f t="shared" si="23"/>
        <v>726.5</v>
      </c>
      <c r="K61" s="212">
        <f t="shared" si="23"/>
        <v>1734.1</v>
      </c>
      <c r="L61" s="213">
        <f t="shared" si="23"/>
        <v>1835.1999999999998</v>
      </c>
      <c r="M61" s="148">
        <f>M63+M64</f>
        <v>181.625</v>
      </c>
      <c r="N61" s="148">
        <f>N63+N64</f>
        <v>181.625</v>
      </c>
      <c r="O61" s="148">
        <f>O63+O64</f>
        <v>181.625</v>
      </c>
      <c r="P61" s="148">
        <f>P63+P64</f>
        <v>181.625</v>
      </c>
    </row>
    <row r="62" spans="1:16" ht="63.75">
      <c r="A62" s="141" t="s">
        <v>131</v>
      </c>
      <c r="B62" s="142" t="s">
        <v>130</v>
      </c>
      <c r="C62" s="209" t="s">
        <v>132</v>
      </c>
      <c r="D62" s="214">
        <v>30381.3</v>
      </c>
      <c r="E62" s="214">
        <f>'[1]ведомст.структ'!I79</f>
        <v>20086.600000000002</v>
      </c>
      <c r="F62" s="214">
        <f>'[1]ведомст.структ'!J79</f>
        <v>30141.100000000002</v>
      </c>
      <c r="G62" s="215">
        <f aca="true" t="shared" si="24" ref="G62:L62">G63+G64</f>
        <v>885.9</v>
      </c>
      <c r="H62" s="215">
        <f t="shared" si="24"/>
        <v>329.9</v>
      </c>
      <c r="I62" s="215">
        <f t="shared" si="24"/>
        <v>387</v>
      </c>
      <c r="J62" s="202">
        <f t="shared" si="24"/>
        <v>726.5</v>
      </c>
      <c r="K62" s="216">
        <f t="shared" si="24"/>
        <v>1734.1</v>
      </c>
      <c r="L62" s="217">
        <f t="shared" si="24"/>
        <v>1835.1999999999998</v>
      </c>
      <c r="M62" s="148">
        <f>M63+M64</f>
        <v>181.625</v>
      </c>
      <c r="N62" s="148">
        <f>N63+N64</f>
        <v>181.625</v>
      </c>
      <c r="O62" s="148">
        <f>O63+O64</f>
        <v>181.625</v>
      </c>
      <c r="P62" s="148">
        <f>P63+P64</f>
        <v>181.625</v>
      </c>
    </row>
    <row r="63" spans="1:16" ht="45" customHeight="1">
      <c r="A63" s="141" t="s">
        <v>133</v>
      </c>
      <c r="B63" s="142" t="s">
        <v>48</v>
      </c>
      <c r="C63" s="143" t="s">
        <v>178</v>
      </c>
      <c r="D63" s="178" t="e">
        <f>D61-D62</f>
        <v>#REF!</v>
      </c>
      <c r="E63" s="178" t="e">
        <f>E61-E62</f>
        <v>#REF!</v>
      </c>
      <c r="F63" s="178" t="e">
        <f>F61-F62</f>
        <v>#REF!</v>
      </c>
      <c r="G63" s="144">
        <v>602.4</v>
      </c>
      <c r="H63" s="144">
        <v>258</v>
      </c>
      <c r="I63" s="144">
        <f>H63/8*12</f>
        <v>387</v>
      </c>
      <c r="J63" s="145">
        <v>726.5</v>
      </c>
      <c r="K63" s="218">
        <v>1155.3</v>
      </c>
      <c r="L63" s="186">
        <v>1218.8</v>
      </c>
      <c r="M63" s="148">
        <f>J63/4</f>
        <v>181.625</v>
      </c>
      <c r="N63" s="148">
        <f>J63/4</f>
        <v>181.625</v>
      </c>
      <c r="O63" s="148">
        <f>J63/4</f>
        <v>181.625</v>
      </c>
      <c r="P63" s="148">
        <f>J63/4</f>
        <v>181.625</v>
      </c>
    </row>
    <row r="64" spans="1:16" ht="46.5" customHeight="1" thickBot="1">
      <c r="A64" s="141" t="s">
        <v>198</v>
      </c>
      <c r="B64" s="142" t="s">
        <v>160</v>
      </c>
      <c r="C64" s="143" t="s">
        <v>179</v>
      </c>
      <c r="D64" s="151"/>
      <c r="E64" s="219"/>
      <c r="F64" s="219"/>
      <c r="G64" s="144">
        <v>283.5</v>
      </c>
      <c r="H64" s="144">
        <v>71.9</v>
      </c>
      <c r="I64" s="144"/>
      <c r="J64" s="145">
        <v>0</v>
      </c>
      <c r="K64" s="218">
        <v>578.8</v>
      </c>
      <c r="L64" s="186">
        <v>616.4</v>
      </c>
      <c r="M64" s="148">
        <f>J64/4</f>
        <v>0</v>
      </c>
      <c r="N64" s="148">
        <f>J64/4</f>
        <v>0</v>
      </c>
      <c r="O64" s="148">
        <f>J64/4</f>
        <v>0</v>
      </c>
      <c r="P64" s="148">
        <f>J64/4</f>
        <v>0</v>
      </c>
    </row>
    <row r="65" spans="1:16" ht="19.5" thickBot="1">
      <c r="A65" s="120"/>
      <c r="B65" s="220"/>
      <c r="C65" s="221" t="s">
        <v>7</v>
      </c>
      <c r="D65" s="214" t="e">
        <f>D61-D44</f>
        <v>#REF!</v>
      </c>
      <c r="E65" s="214" t="e">
        <f>E61-E44</f>
        <v>#REF!</v>
      </c>
      <c r="F65" s="214" t="e">
        <f>F61-F44</f>
        <v>#REF!</v>
      </c>
      <c r="G65" s="214">
        <f aca="true" t="shared" si="25" ref="G65:P65">G9+G48</f>
        <v>51728.200000000004</v>
      </c>
      <c r="H65" s="214">
        <f t="shared" si="25"/>
        <v>23927.699999999997</v>
      </c>
      <c r="I65" s="214">
        <f t="shared" si="25"/>
        <v>48661.7</v>
      </c>
      <c r="J65" s="214">
        <f>J9+J48</f>
        <v>92568.5</v>
      </c>
      <c r="K65" s="222">
        <f t="shared" si="25"/>
        <v>87828.79</v>
      </c>
      <c r="L65" s="223">
        <f t="shared" si="25"/>
        <v>89475.09245</v>
      </c>
      <c r="M65" s="152">
        <f t="shared" si="25"/>
        <v>25029.891666666663</v>
      </c>
      <c r="N65" s="152">
        <f t="shared" si="25"/>
        <v>25029.891666666663</v>
      </c>
      <c r="O65" s="152">
        <f t="shared" si="25"/>
        <v>25029.891666666663</v>
      </c>
      <c r="P65" s="152">
        <f t="shared" si="25"/>
        <v>16664.225</v>
      </c>
    </row>
    <row r="66" spans="1:12" ht="18.75" hidden="1">
      <c r="A66" s="106"/>
      <c r="B66" s="105"/>
      <c r="C66" s="104" t="s">
        <v>9</v>
      </c>
      <c r="G66" s="107" t="e">
        <f>#REF!</f>
        <v>#REF!</v>
      </c>
      <c r="H66" s="107" t="e">
        <f>#REF!</f>
        <v>#REF!</v>
      </c>
      <c r="I66" s="107" t="e">
        <f>#REF!</f>
        <v>#REF!</v>
      </c>
      <c r="J66" s="107" t="e">
        <f>#REF!</f>
        <v>#REF!</v>
      </c>
      <c r="K66" s="107" t="e">
        <f>#REF!</f>
        <v>#REF!</v>
      </c>
      <c r="L66" s="107" t="e">
        <f>#REF!</f>
        <v>#REF!</v>
      </c>
    </row>
    <row r="67" spans="1:12" ht="18.75" hidden="1">
      <c r="A67" s="106"/>
      <c r="B67" s="105"/>
      <c r="C67" s="102" t="s">
        <v>10</v>
      </c>
      <c r="G67" s="103" t="e">
        <f aca="true" t="shared" si="26" ref="G67:L67">G65-G66</f>
        <v>#REF!</v>
      </c>
      <c r="H67" s="103" t="e">
        <f t="shared" si="26"/>
        <v>#REF!</v>
      </c>
      <c r="I67" s="103" t="e">
        <f t="shared" si="26"/>
        <v>#REF!</v>
      </c>
      <c r="J67" s="103" t="e">
        <f>J65-J66</f>
        <v>#REF!</v>
      </c>
      <c r="K67" s="103" t="e">
        <f t="shared" si="26"/>
        <v>#REF!</v>
      </c>
      <c r="L67" s="103" t="e">
        <f t="shared" si="26"/>
        <v>#REF!</v>
      </c>
    </row>
    <row r="68" ht="12.75" hidden="1">
      <c r="A68" s="108"/>
    </row>
    <row r="69" spans="1:12" ht="19.5" hidden="1" thickBot="1">
      <c r="A69" s="109"/>
      <c r="B69" s="110" t="s">
        <v>137</v>
      </c>
      <c r="C69" s="110"/>
      <c r="G69" s="101">
        <f aca="true" t="shared" si="27" ref="G69:L69">G65-G48</f>
        <v>29725.4</v>
      </c>
      <c r="H69" s="101">
        <f t="shared" si="27"/>
        <v>17464.399999999998</v>
      </c>
      <c r="I69" s="101">
        <f t="shared" si="27"/>
        <v>29091.899999999994</v>
      </c>
      <c r="J69" s="101">
        <f t="shared" si="27"/>
        <v>26445.600000000006</v>
      </c>
      <c r="K69" s="101">
        <f t="shared" si="27"/>
        <v>27354.589999999997</v>
      </c>
      <c r="L69" s="101">
        <f t="shared" si="27"/>
        <v>28859.092449999996</v>
      </c>
    </row>
    <row r="70" ht="12.75" hidden="1"/>
    <row r="71" ht="12.75" hidden="1"/>
    <row r="72" ht="12.75" hidden="1">
      <c r="J72" s="2">
        <f>J65-J56</f>
        <v>91037.8</v>
      </c>
    </row>
    <row r="73" ht="12.75" hidden="1">
      <c r="J73" s="2">
        <f>J72*0.31</f>
        <v>28221.718</v>
      </c>
    </row>
    <row r="74" ht="12.75" hidden="1"/>
    <row r="75" ht="12.75" hidden="1"/>
    <row r="77" ht="12.75">
      <c r="P77" s="113"/>
    </row>
  </sheetData>
  <sheetProtection/>
  <mergeCells count="5">
    <mergeCell ref="A6:P6"/>
    <mergeCell ref="O7:P7"/>
    <mergeCell ref="C1:P1"/>
    <mergeCell ref="C4:P4"/>
    <mergeCell ref="A5:P5"/>
  </mergeCells>
  <printOptions/>
  <pageMargins left="0.5905511811023623" right="0.3937007874015748" top="0.3937007874015748" bottom="0.3937007874015748" header="0" footer="0"/>
  <pageSetup fitToHeight="6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6"/>
  <sheetViews>
    <sheetView view="pageBreakPreview" zoomScaleSheetLayoutView="100" zoomScalePageLayoutView="0" workbookViewId="0" topLeftCell="A5">
      <selection activeCell="Z14" sqref="Z14"/>
    </sheetView>
  </sheetViews>
  <sheetFormatPr defaultColWidth="9.140625" defaultRowHeight="12.75"/>
  <cols>
    <col min="1" max="1" width="9.140625" style="1" customWidth="1"/>
    <col min="2" max="2" width="38.57421875" style="1" customWidth="1"/>
    <col min="3" max="3" width="51.421875" style="2" customWidth="1"/>
    <col min="4" max="4" width="11.7109375" style="6" hidden="1" customWidth="1"/>
    <col min="5" max="5" width="10.8515625" style="2" hidden="1" customWidth="1"/>
    <col min="6" max="6" width="13.421875" style="2" hidden="1" customWidth="1"/>
    <col min="7" max="7" width="15.8515625" style="2" hidden="1" customWidth="1"/>
    <col min="8" max="8" width="14.00390625" style="2" hidden="1" customWidth="1"/>
    <col min="9" max="9" width="16.57421875" style="2" hidden="1" customWidth="1"/>
    <col min="10" max="10" width="17.140625" style="2" customWidth="1"/>
    <col min="11" max="11" width="12.7109375" style="2" hidden="1" customWidth="1"/>
    <col min="12" max="12" width="12.00390625" style="2" hidden="1" customWidth="1"/>
    <col min="13" max="13" width="10.140625" style="2" hidden="1" customWidth="1"/>
    <col min="14" max="16" width="0" style="2" hidden="1" customWidth="1"/>
    <col min="17" max="17" width="17.00390625" style="2" hidden="1" customWidth="1"/>
    <col min="18" max="18" width="16.57421875" style="2" hidden="1" customWidth="1"/>
    <col min="19" max="19" width="9.140625" style="227" customWidth="1"/>
    <col min="20" max="20" width="13.28125" style="2" hidden="1" customWidth="1"/>
    <col min="21" max="23" width="0" style="2" hidden="1" customWidth="1"/>
    <col min="24" max="24" width="10.140625" style="2" bestFit="1" customWidth="1"/>
    <col min="25" max="16384" width="9.140625" style="2" customWidth="1"/>
  </cols>
  <sheetData>
    <row r="1" spans="1:16" ht="21" customHeight="1">
      <c r="A1" s="238"/>
      <c r="B1" s="225"/>
      <c r="C1" s="352" t="s">
        <v>240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21" customHeight="1">
      <c r="A2" s="237"/>
      <c r="B2" s="233"/>
      <c r="C2" s="233"/>
      <c r="D2" s="233"/>
      <c r="E2" s="233"/>
      <c r="F2" s="233"/>
      <c r="G2" s="233"/>
      <c r="H2" s="233"/>
      <c r="I2" s="233"/>
      <c r="J2" s="234" t="s">
        <v>249</v>
      </c>
      <c r="K2" s="233"/>
      <c r="L2" s="233"/>
      <c r="M2" s="233"/>
      <c r="N2" s="233"/>
      <c r="O2" s="233"/>
      <c r="P2" s="233"/>
    </row>
    <row r="3" spans="1:16" ht="21" customHeight="1">
      <c r="A3" s="237"/>
      <c r="B3" s="233"/>
      <c r="C3" s="353"/>
      <c r="D3" s="353"/>
      <c r="E3" s="353"/>
      <c r="F3" s="353"/>
      <c r="G3" s="353"/>
      <c r="H3" s="353"/>
      <c r="I3" s="353"/>
      <c r="J3" s="353"/>
      <c r="K3" s="233"/>
      <c r="L3" s="233"/>
      <c r="M3" s="233"/>
      <c r="N3" s="233"/>
      <c r="O3" s="233"/>
      <c r="P3" s="233"/>
    </row>
    <row r="4" spans="1:16" ht="21" customHeight="1">
      <c r="A4" s="237"/>
      <c r="B4" s="233"/>
      <c r="C4" s="353"/>
      <c r="D4" s="353"/>
      <c r="E4" s="353"/>
      <c r="F4" s="353"/>
      <c r="G4" s="353"/>
      <c r="H4" s="353"/>
      <c r="I4" s="353"/>
      <c r="J4" s="353"/>
      <c r="K4" s="233"/>
      <c r="L4" s="233"/>
      <c r="M4" s="233"/>
      <c r="N4" s="233"/>
      <c r="O4" s="233"/>
      <c r="P4" s="233"/>
    </row>
    <row r="5" spans="1:16" ht="20.25" customHeight="1">
      <c r="A5" s="237"/>
      <c r="B5" s="22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1:18" ht="20.25" customHeight="1">
      <c r="A6" s="237"/>
      <c r="B6" s="22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</row>
    <row r="7" spans="1:16" ht="22.5" customHeight="1">
      <c r="A7" s="351" t="s">
        <v>204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</row>
    <row r="8" spans="1:16" ht="27" customHeight="1" thickBot="1">
      <c r="A8" s="351" t="s">
        <v>241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</row>
    <row r="9" spans="1:19" s="7" customFormat="1" ht="21.75" customHeight="1" thickBot="1">
      <c r="A9" s="251" t="s">
        <v>0</v>
      </c>
      <c r="B9" s="251" t="s">
        <v>8</v>
      </c>
      <c r="C9" s="252" t="s">
        <v>1</v>
      </c>
      <c r="D9" s="253" t="s">
        <v>135</v>
      </c>
      <c r="E9" s="253" t="s">
        <v>139</v>
      </c>
      <c r="F9" s="253" t="s">
        <v>136</v>
      </c>
      <c r="G9" s="253" t="s">
        <v>164</v>
      </c>
      <c r="H9" s="253" t="s">
        <v>188</v>
      </c>
      <c r="I9" s="253" t="s">
        <v>161</v>
      </c>
      <c r="J9" s="253" t="s">
        <v>189</v>
      </c>
      <c r="K9" s="254" t="s">
        <v>159</v>
      </c>
      <c r="L9" s="255" t="s">
        <v>162</v>
      </c>
      <c r="M9" s="256" t="s">
        <v>199</v>
      </c>
      <c r="N9" s="256" t="s">
        <v>200</v>
      </c>
      <c r="O9" s="256" t="s">
        <v>201</v>
      </c>
      <c r="P9" s="256" t="s">
        <v>202</v>
      </c>
      <c r="Q9" s="257" t="s">
        <v>189</v>
      </c>
      <c r="R9" s="257" t="s">
        <v>189</v>
      </c>
      <c r="S9" s="228"/>
    </row>
    <row r="10" spans="1:19" s="267" customFormat="1" ht="16.5" thickBot="1">
      <c r="A10" s="252" t="s">
        <v>2</v>
      </c>
      <c r="B10" s="258" t="s">
        <v>11</v>
      </c>
      <c r="C10" s="259" t="s">
        <v>192</v>
      </c>
      <c r="D10" s="260" t="e">
        <f>D11+#REF!+D20+D23+#REF!</f>
        <v>#REF!</v>
      </c>
      <c r="E10" s="260" t="e">
        <f>E11+#REF!+E20+E23+#REF!</f>
        <v>#REF!</v>
      </c>
      <c r="F10" s="260" t="e">
        <f>F11+#REF!+F20+F23+#REF!</f>
        <v>#REF!</v>
      </c>
      <c r="G10" s="260" t="e">
        <f>G11+#REF!+G20+#REF!+G31</f>
        <v>#REF!</v>
      </c>
      <c r="H10" s="260" t="e">
        <f>H11+#REF!+H20+#REF!+H31</f>
        <v>#REF!</v>
      </c>
      <c r="I10" s="260" t="e">
        <f>I11+#REF!+I20+#REF!+I31</f>
        <v>#REF!</v>
      </c>
      <c r="J10" s="261">
        <f>J11+J20</f>
        <v>441.3</v>
      </c>
      <c r="K10" s="262" t="e">
        <f>K11+#REF!+K20+#REF!+K31</f>
        <v>#REF!</v>
      </c>
      <c r="L10" s="263" t="e">
        <f>L11+#REF!+L20+#REF!+L31</f>
        <v>#REF!</v>
      </c>
      <c r="M10" s="264" t="e">
        <f>M11+#REF!+M20+#REF!+M31</f>
        <v>#REF!</v>
      </c>
      <c r="N10" s="264" t="e">
        <f>N11+#REF!+N20+#REF!+N31</f>
        <v>#REF!</v>
      </c>
      <c r="O10" s="264" t="e">
        <f>O11+#REF!+O20+#REF!+O31</f>
        <v>#REF!</v>
      </c>
      <c r="P10" s="264" t="e">
        <f>P11+#REF!+P20+#REF!+P31</f>
        <v>#REF!</v>
      </c>
      <c r="Q10" s="265" t="e">
        <f>Q11+#REF!+Q20+Q27</f>
        <v>#REF!</v>
      </c>
      <c r="R10" s="265" t="e">
        <f>R11+#REF!+R20+R27</f>
        <v>#REF!</v>
      </c>
      <c r="S10" s="266"/>
    </row>
    <row r="11" spans="1:19" s="275" customFormat="1" ht="16.5" thickBot="1">
      <c r="A11" s="252" t="s">
        <v>6</v>
      </c>
      <c r="B11" s="268" t="s">
        <v>257</v>
      </c>
      <c r="C11" s="269" t="s">
        <v>250</v>
      </c>
      <c r="D11" s="260" t="e">
        <f aca="true" t="shared" si="0" ref="D11:I11">D12+D17</f>
        <v>#REF!</v>
      </c>
      <c r="E11" s="260" t="e">
        <f t="shared" si="0"/>
        <v>#REF!</v>
      </c>
      <c r="F11" s="260" t="e">
        <f t="shared" si="0"/>
        <v>#REF!</v>
      </c>
      <c r="G11" s="260" t="e">
        <f t="shared" si="0"/>
        <v>#REF!</v>
      </c>
      <c r="H11" s="260" t="e">
        <f t="shared" si="0"/>
        <v>#REF!</v>
      </c>
      <c r="I11" s="260" t="e">
        <f t="shared" si="0"/>
        <v>#REF!</v>
      </c>
      <c r="J11" s="261">
        <f>J12</f>
        <v>428.8</v>
      </c>
      <c r="K11" s="270" t="e">
        <f aca="true" t="shared" si="1" ref="K11:P11">K12+K17</f>
        <v>#REF!</v>
      </c>
      <c r="L11" s="271" t="e">
        <f t="shared" si="1"/>
        <v>#REF!</v>
      </c>
      <c r="M11" s="272" t="e">
        <f t="shared" si="1"/>
        <v>#REF!</v>
      </c>
      <c r="N11" s="272" t="e">
        <f t="shared" si="1"/>
        <v>#REF!</v>
      </c>
      <c r="O11" s="272" t="e">
        <f t="shared" si="1"/>
        <v>#REF!</v>
      </c>
      <c r="P11" s="272" t="e">
        <f t="shared" si="1"/>
        <v>#REF!</v>
      </c>
      <c r="Q11" s="273" t="e">
        <f>Q12+Q17+Q19</f>
        <v>#REF!</v>
      </c>
      <c r="R11" s="273" t="e">
        <f>R12+R17+R19</f>
        <v>#REF!</v>
      </c>
      <c r="S11" s="274"/>
    </row>
    <row r="12" spans="1:18" ht="18" customHeight="1" thickBot="1">
      <c r="A12" s="276" t="s">
        <v>31</v>
      </c>
      <c r="B12" s="277" t="s">
        <v>258</v>
      </c>
      <c r="C12" s="278" t="s">
        <v>251</v>
      </c>
      <c r="D12" s="279" t="e">
        <f>D13+D15+#REF!+#REF!</f>
        <v>#REF!</v>
      </c>
      <c r="E12" s="279" t="e">
        <f>E13+E15+#REF!+#REF!</f>
        <v>#REF!</v>
      </c>
      <c r="F12" s="279" t="e">
        <f>F13+F15+#REF!+#REF!</f>
        <v>#REF!</v>
      </c>
      <c r="G12" s="279" t="e">
        <f>G13+G15+#REF!+#REF!+G16</f>
        <v>#REF!</v>
      </c>
      <c r="H12" s="279" t="e">
        <f>H13+H15+#REF!+#REF!+H16</f>
        <v>#REF!</v>
      </c>
      <c r="I12" s="279" t="e">
        <f>I13+I15+#REF!+#REF!+I16+I17</f>
        <v>#REF!</v>
      </c>
      <c r="J12" s="280">
        <f>J13</f>
        <v>428.8</v>
      </c>
      <c r="K12" s="281" t="e">
        <f>K13+K15+#REF!+#REF!+K16+K17</f>
        <v>#REF!</v>
      </c>
      <c r="L12" s="282" t="e">
        <f>L13+L15+#REF!+#REF!+L16+L17</f>
        <v>#REF!</v>
      </c>
      <c r="M12" s="283" t="e">
        <f>M13+M15+#REF!+#REF!+M16</f>
        <v>#REF!</v>
      </c>
      <c r="N12" s="283" t="e">
        <f>N13+N15+#REF!+#REF!+N16</f>
        <v>#REF!</v>
      </c>
      <c r="O12" s="283" t="e">
        <f>O13+O15+#REF!+#REF!+O16</f>
        <v>#REF!</v>
      </c>
      <c r="P12" s="283" t="e">
        <f>P13+P15+#REF!+#REF!+P16</f>
        <v>#REF!</v>
      </c>
      <c r="Q12" s="280" t="e">
        <f>Q13+Q15+#REF!+#REF!+Q16</f>
        <v>#REF!</v>
      </c>
      <c r="R12" s="280" t="e">
        <f>R13+R15+#REF!+#REF!+R16</f>
        <v>#REF!</v>
      </c>
    </row>
    <row r="13" spans="1:24" ht="67.5" customHeight="1">
      <c r="A13" s="276" t="s">
        <v>17</v>
      </c>
      <c r="B13" s="284" t="s">
        <v>253</v>
      </c>
      <c r="C13" s="341" t="s">
        <v>252</v>
      </c>
      <c r="D13" s="279">
        <v>6131.4</v>
      </c>
      <c r="E13" s="279">
        <v>3667.3</v>
      </c>
      <c r="F13" s="279">
        <f>E13/8*12</f>
        <v>5500.950000000001</v>
      </c>
      <c r="G13" s="279">
        <v>17300</v>
      </c>
      <c r="H13" s="279">
        <v>8970.8</v>
      </c>
      <c r="I13" s="279">
        <v>15500</v>
      </c>
      <c r="J13" s="280">
        <v>428.8</v>
      </c>
      <c r="K13" s="285">
        <f aca="true" t="shared" si="2" ref="K13:K19">J13*1.058</f>
        <v>453.67040000000003</v>
      </c>
      <c r="L13" s="286">
        <f aca="true" t="shared" si="3" ref="L13:L19">K13*1.055</f>
        <v>478.622272</v>
      </c>
      <c r="M13" s="283">
        <f>J13/3</f>
        <v>142.93333333333334</v>
      </c>
      <c r="N13" s="283">
        <f>J13/3</f>
        <v>142.93333333333334</v>
      </c>
      <c r="O13" s="283">
        <f>J13/3</f>
        <v>142.93333333333334</v>
      </c>
      <c r="P13" s="283">
        <v>0</v>
      </c>
      <c r="Q13" s="280">
        <f>J13*108%</f>
        <v>463.10400000000004</v>
      </c>
      <c r="R13" s="280">
        <f>Q13*106.9%</f>
        <v>495.058176</v>
      </c>
      <c r="X13" s="113"/>
    </row>
    <row r="14" spans="1:18" ht="56.25" customHeight="1">
      <c r="A14" s="276" t="s">
        <v>32</v>
      </c>
      <c r="B14" s="287" t="s">
        <v>165</v>
      </c>
      <c r="C14" s="235" t="s">
        <v>239</v>
      </c>
      <c r="D14" s="279"/>
      <c r="E14" s="279"/>
      <c r="F14" s="279"/>
      <c r="G14" s="279">
        <f>G15</f>
        <v>760</v>
      </c>
      <c r="H14" s="279">
        <f>H15</f>
        <v>824.4</v>
      </c>
      <c r="I14" s="279">
        <f>I15</f>
        <v>1236.6</v>
      </c>
      <c r="J14" s="280">
        <f>J15</f>
        <v>9000</v>
      </c>
      <c r="K14" s="285">
        <f t="shared" si="2"/>
        <v>9522</v>
      </c>
      <c r="L14" s="286">
        <f t="shared" si="3"/>
        <v>10045.71</v>
      </c>
      <c r="M14" s="283">
        <f aca="true" t="shared" si="4" ref="M14:R14">M15</f>
        <v>3000</v>
      </c>
      <c r="N14" s="283">
        <f t="shared" si="4"/>
        <v>3000</v>
      </c>
      <c r="O14" s="283">
        <f t="shared" si="4"/>
        <v>3000</v>
      </c>
      <c r="P14" s="283">
        <f t="shared" si="4"/>
        <v>0</v>
      </c>
      <c r="Q14" s="280">
        <f t="shared" si="4"/>
        <v>9720</v>
      </c>
      <c r="R14" s="280">
        <f t="shared" si="4"/>
        <v>10390.68</v>
      </c>
    </row>
    <row r="15" spans="1:18" ht="57" customHeight="1">
      <c r="A15" s="276" t="s">
        <v>119</v>
      </c>
      <c r="B15" s="287" t="s">
        <v>123</v>
      </c>
      <c r="C15" s="235" t="s">
        <v>239</v>
      </c>
      <c r="D15" s="279">
        <v>800</v>
      </c>
      <c r="E15" s="279">
        <v>733.2</v>
      </c>
      <c r="F15" s="279">
        <f>E15/8*12</f>
        <v>1099.8000000000002</v>
      </c>
      <c r="G15" s="279">
        <v>760</v>
      </c>
      <c r="H15" s="279">
        <v>824.4</v>
      </c>
      <c r="I15" s="279">
        <f>H15/8*12</f>
        <v>1236.6</v>
      </c>
      <c r="J15" s="280">
        <v>9000</v>
      </c>
      <c r="K15" s="285">
        <f t="shared" si="2"/>
        <v>9522</v>
      </c>
      <c r="L15" s="286">
        <f t="shared" si="3"/>
        <v>10045.71</v>
      </c>
      <c r="M15" s="283">
        <f>J15/3</f>
        <v>3000</v>
      </c>
      <c r="N15" s="283">
        <f>J15/3</f>
        <v>3000</v>
      </c>
      <c r="O15" s="283">
        <f>J15/3</f>
        <v>3000</v>
      </c>
      <c r="P15" s="283">
        <v>0</v>
      </c>
      <c r="Q15" s="280">
        <f>J15*108%</f>
        <v>9720</v>
      </c>
      <c r="R15" s="280">
        <f>Q15*106.9%</f>
        <v>10390.68</v>
      </c>
    </row>
    <row r="16" spans="1:18" ht="0.75" customHeight="1" hidden="1">
      <c r="A16" s="276" t="s">
        <v>155</v>
      </c>
      <c r="B16" s="287" t="s">
        <v>153</v>
      </c>
      <c r="C16" s="235" t="s">
        <v>238</v>
      </c>
      <c r="D16" s="279"/>
      <c r="E16" s="279"/>
      <c r="F16" s="279"/>
      <c r="G16" s="279">
        <v>560</v>
      </c>
      <c r="H16" s="279">
        <v>17.8</v>
      </c>
      <c r="I16" s="279">
        <f>H16/8*12</f>
        <v>26.700000000000003</v>
      </c>
      <c r="J16" s="280">
        <v>0</v>
      </c>
      <c r="K16" s="285">
        <f t="shared" si="2"/>
        <v>0</v>
      </c>
      <c r="L16" s="286">
        <f t="shared" si="3"/>
        <v>0</v>
      </c>
      <c r="M16" s="283">
        <f>J16/4</f>
        <v>0</v>
      </c>
      <c r="N16" s="283">
        <f>J16/4</f>
        <v>0</v>
      </c>
      <c r="O16" s="283">
        <f>J16/4</f>
        <v>0</v>
      </c>
      <c r="P16" s="283">
        <f>J16/4</f>
        <v>0</v>
      </c>
      <c r="Q16" s="280">
        <f>J16*108%</f>
        <v>0</v>
      </c>
      <c r="R16" s="280">
        <f>Q16*106.9%</f>
        <v>0</v>
      </c>
    </row>
    <row r="17" spans="1:18" ht="31.5" customHeight="1">
      <c r="A17" s="276" t="s">
        <v>113</v>
      </c>
      <c r="B17" s="287" t="s">
        <v>158</v>
      </c>
      <c r="C17" s="235" t="s">
        <v>237</v>
      </c>
      <c r="D17" s="279">
        <f>D18+D19</f>
        <v>240</v>
      </c>
      <c r="E17" s="279">
        <f>E18+E19</f>
        <v>181.5</v>
      </c>
      <c r="F17" s="279">
        <f>E17/8*12</f>
        <v>272.25</v>
      </c>
      <c r="G17" s="279">
        <f>G18+G19</f>
        <v>200</v>
      </c>
      <c r="H17" s="279">
        <f>H18+H19</f>
        <v>223.2</v>
      </c>
      <c r="I17" s="279">
        <f>H17/8*12</f>
        <v>334.79999999999995</v>
      </c>
      <c r="J17" s="280">
        <f>J18</f>
        <v>950</v>
      </c>
      <c r="K17" s="285">
        <f t="shared" si="2"/>
        <v>1005.1</v>
      </c>
      <c r="L17" s="286">
        <f t="shared" si="3"/>
        <v>1060.3805</v>
      </c>
      <c r="M17" s="283">
        <f aca="true" t="shared" si="5" ref="M17:R17">M18</f>
        <v>316.6666666666667</v>
      </c>
      <c r="N17" s="283">
        <f t="shared" si="5"/>
        <v>316.6666666666667</v>
      </c>
      <c r="O17" s="283">
        <f t="shared" si="5"/>
        <v>316.6666666666667</v>
      </c>
      <c r="P17" s="283">
        <f t="shared" si="5"/>
        <v>0</v>
      </c>
      <c r="Q17" s="280">
        <f t="shared" si="5"/>
        <v>1026</v>
      </c>
      <c r="R17" s="280">
        <f t="shared" si="5"/>
        <v>1096.7939999999999</v>
      </c>
    </row>
    <row r="18" spans="1:18" ht="30" customHeight="1">
      <c r="A18" s="276" t="s">
        <v>118</v>
      </c>
      <c r="B18" s="287" t="s">
        <v>126</v>
      </c>
      <c r="C18" s="235" t="s">
        <v>237</v>
      </c>
      <c r="D18" s="279">
        <v>120</v>
      </c>
      <c r="E18" s="279">
        <v>130.5</v>
      </c>
      <c r="F18" s="279">
        <f>E18/8*12</f>
        <v>195.75</v>
      </c>
      <c r="G18" s="279">
        <v>200</v>
      </c>
      <c r="H18" s="279">
        <v>223.2</v>
      </c>
      <c r="I18" s="279">
        <f>H18/8*12</f>
        <v>334.79999999999995</v>
      </c>
      <c r="J18" s="280">
        <v>950</v>
      </c>
      <c r="K18" s="285">
        <f t="shared" si="2"/>
        <v>1005.1</v>
      </c>
      <c r="L18" s="286">
        <f t="shared" si="3"/>
        <v>1060.3805</v>
      </c>
      <c r="M18" s="283">
        <f>J18/3</f>
        <v>316.6666666666667</v>
      </c>
      <c r="N18" s="283">
        <f>J18/3</f>
        <v>316.6666666666667</v>
      </c>
      <c r="O18" s="283">
        <f>J18/3</f>
        <v>316.6666666666667</v>
      </c>
      <c r="P18" s="283">
        <v>0</v>
      </c>
      <c r="Q18" s="280">
        <f>J18*108%</f>
        <v>1026</v>
      </c>
      <c r="R18" s="280">
        <f>Q18*106.9%</f>
        <v>1096.7939999999999</v>
      </c>
    </row>
    <row r="19" spans="1:19" s="275" customFormat="1" ht="45" customHeight="1" thickBot="1">
      <c r="A19" s="276" t="s">
        <v>145</v>
      </c>
      <c r="B19" s="287" t="s">
        <v>214</v>
      </c>
      <c r="C19" s="235" t="s">
        <v>215</v>
      </c>
      <c r="D19" s="279">
        <v>120</v>
      </c>
      <c r="E19" s="279">
        <v>51</v>
      </c>
      <c r="F19" s="279">
        <f>E19/8*12</f>
        <v>76.5</v>
      </c>
      <c r="G19" s="219"/>
      <c r="H19" s="279"/>
      <c r="I19" s="279">
        <f>H19/8*12</f>
        <v>0</v>
      </c>
      <c r="J19" s="280">
        <v>1700</v>
      </c>
      <c r="K19" s="285">
        <f t="shared" si="2"/>
        <v>1798.6000000000001</v>
      </c>
      <c r="L19" s="286">
        <f t="shared" si="3"/>
        <v>1897.5230000000001</v>
      </c>
      <c r="M19" s="288"/>
      <c r="N19" s="288"/>
      <c r="O19" s="288"/>
      <c r="P19" s="288"/>
      <c r="Q19" s="280">
        <f>J19*108%</f>
        <v>1836.0000000000002</v>
      </c>
      <c r="R19" s="280">
        <f>Q19*106.9%</f>
        <v>1962.6840000000002</v>
      </c>
      <c r="S19" s="274"/>
    </row>
    <row r="20" spans="1:18" ht="43.5" customHeight="1" thickBot="1">
      <c r="A20" s="289" t="s">
        <v>3</v>
      </c>
      <c r="B20" s="290" t="s">
        <v>12</v>
      </c>
      <c r="C20" s="291" t="s">
        <v>100</v>
      </c>
      <c r="D20" s="292" t="e">
        <f>#REF!+#REF!+#REF!+#REF!+#REF!</f>
        <v>#REF!</v>
      </c>
      <c r="E20" s="292" t="e">
        <f>#REF!+#REF!+#REF!+#REF!+#REF!</f>
        <v>#REF!</v>
      </c>
      <c r="F20" s="292" t="e">
        <f>#REF!+#REF!+#REF!+#REF!+#REF!</f>
        <v>#REF!</v>
      </c>
      <c r="G20" s="292">
        <f aca="true" t="shared" si="6" ref="G20:R20">G21+G25</f>
        <v>9275.4</v>
      </c>
      <c r="H20" s="292">
        <f t="shared" si="6"/>
        <v>6457.7</v>
      </c>
      <c r="I20" s="292">
        <f t="shared" si="6"/>
        <v>10024</v>
      </c>
      <c r="J20" s="293">
        <f>J25</f>
        <v>12.5</v>
      </c>
      <c r="K20" s="294">
        <f t="shared" si="6"/>
        <v>8265.625</v>
      </c>
      <c r="L20" s="295">
        <f t="shared" si="6"/>
        <v>8720.234375</v>
      </c>
      <c r="M20" s="296">
        <f t="shared" si="6"/>
        <v>2603.125</v>
      </c>
      <c r="N20" s="296">
        <f t="shared" si="6"/>
        <v>2603.125</v>
      </c>
      <c r="O20" s="296">
        <f t="shared" si="6"/>
        <v>2603.125</v>
      </c>
      <c r="P20" s="296">
        <f t="shared" si="6"/>
        <v>3.125</v>
      </c>
      <c r="Q20" s="273">
        <f t="shared" si="6"/>
        <v>8437.5</v>
      </c>
      <c r="R20" s="273">
        <f t="shared" si="6"/>
        <v>9019.6875</v>
      </c>
    </row>
    <row r="21" spans="1:18" ht="81" customHeight="1">
      <c r="A21" s="276" t="s">
        <v>33</v>
      </c>
      <c r="B21" s="297" t="s">
        <v>111</v>
      </c>
      <c r="C21" s="235" t="s">
        <v>127</v>
      </c>
      <c r="D21" s="292"/>
      <c r="E21" s="292"/>
      <c r="F21" s="292"/>
      <c r="G21" s="279">
        <f aca="true" t="shared" si="7" ref="G21:J23">G22</f>
        <v>9251.4</v>
      </c>
      <c r="H21" s="279">
        <f t="shared" si="7"/>
        <v>6445.7</v>
      </c>
      <c r="I21" s="279">
        <f t="shared" si="7"/>
        <v>10000</v>
      </c>
      <c r="J21" s="280">
        <f t="shared" si="7"/>
        <v>7800</v>
      </c>
      <c r="K21" s="285">
        <f>J21*1.058</f>
        <v>8252.4</v>
      </c>
      <c r="L21" s="286">
        <f>K21*1.055</f>
        <v>8706.282</v>
      </c>
      <c r="M21" s="283">
        <f aca="true" t="shared" si="8" ref="M21:R23">M22</f>
        <v>2600</v>
      </c>
      <c r="N21" s="283">
        <f t="shared" si="8"/>
        <v>2600</v>
      </c>
      <c r="O21" s="283">
        <f t="shared" si="8"/>
        <v>2600</v>
      </c>
      <c r="P21" s="283">
        <f t="shared" si="8"/>
        <v>0</v>
      </c>
      <c r="Q21" s="280">
        <f t="shared" si="8"/>
        <v>8424</v>
      </c>
      <c r="R21" s="280">
        <f t="shared" si="8"/>
        <v>9005.256</v>
      </c>
    </row>
    <row r="22" spans="1:18" ht="44.25" customHeight="1">
      <c r="A22" s="276" t="s">
        <v>34</v>
      </c>
      <c r="B22" s="297" t="s">
        <v>112</v>
      </c>
      <c r="C22" s="235" t="s">
        <v>101</v>
      </c>
      <c r="D22" s="279">
        <v>5500</v>
      </c>
      <c r="E22" s="279">
        <v>3350.4</v>
      </c>
      <c r="F22" s="279">
        <f>E22/8*12</f>
        <v>5025.6</v>
      </c>
      <c r="G22" s="279">
        <f t="shared" si="7"/>
        <v>9251.4</v>
      </c>
      <c r="H22" s="279">
        <f t="shared" si="7"/>
        <v>6445.7</v>
      </c>
      <c r="I22" s="279">
        <f t="shared" si="7"/>
        <v>10000</v>
      </c>
      <c r="J22" s="280">
        <f t="shared" si="7"/>
        <v>7800</v>
      </c>
      <c r="K22" s="285">
        <f>J22*1.058</f>
        <v>8252.4</v>
      </c>
      <c r="L22" s="286">
        <f>K22*1.055</f>
        <v>8706.282</v>
      </c>
      <c r="M22" s="283">
        <f t="shared" si="8"/>
        <v>2600</v>
      </c>
      <c r="N22" s="283">
        <f t="shared" si="8"/>
        <v>2600</v>
      </c>
      <c r="O22" s="283">
        <f t="shared" si="8"/>
        <v>2600</v>
      </c>
      <c r="P22" s="283">
        <f t="shared" si="8"/>
        <v>0</v>
      </c>
      <c r="Q22" s="280">
        <f t="shared" si="8"/>
        <v>8424</v>
      </c>
      <c r="R22" s="280">
        <f t="shared" si="8"/>
        <v>9005.256</v>
      </c>
    </row>
    <row r="23" spans="1:18" ht="67.5" customHeight="1">
      <c r="A23" s="276" t="s">
        <v>116</v>
      </c>
      <c r="B23" s="297" t="s">
        <v>166</v>
      </c>
      <c r="C23" s="235" t="s">
        <v>236</v>
      </c>
      <c r="D23" s="292">
        <f aca="true" t="shared" si="9" ref="D23:F24">D24</f>
        <v>3450</v>
      </c>
      <c r="E23" s="292">
        <f t="shared" si="9"/>
        <v>1791.7</v>
      </c>
      <c r="F23" s="292">
        <f t="shared" si="9"/>
        <v>2090</v>
      </c>
      <c r="G23" s="279">
        <f t="shared" si="7"/>
        <v>9251.4</v>
      </c>
      <c r="H23" s="279">
        <f t="shared" si="7"/>
        <v>6445.7</v>
      </c>
      <c r="I23" s="279">
        <f t="shared" si="7"/>
        <v>10000</v>
      </c>
      <c r="J23" s="280">
        <f t="shared" si="7"/>
        <v>7800</v>
      </c>
      <c r="K23" s="285">
        <f>J23*1.058</f>
        <v>8252.4</v>
      </c>
      <c r="L23" s="286">
        <f>K23*1.055</f>
        <v>8706.282</v>
      </c>
      <c r="M23" s="283">
        <f t="shared" si="8"/>
        <v>2600</v>
      </c>
      <c r="N23" s="283">
        <f t="shared" si="8"/>
        <v>2600</v>
      </c>
      <c r="O23" s="283">
        <f t="shared" si="8"/>
        <v>2600</v>
      </c>
      <c r="P23" s="283">
        <f t="shared" si="8"/>
        <v>0</v>
      </c>
      <c r="Q23" s="280">
        <f t="shared" si="8"/>
        <v>8424</v>
      </c>
      <c r="R23" s="280">
        <f t="shared" si="8"/>
        <v>9005.256</v>
      </c>
    </row>
    <row r="24" spans="1:18" ht="42.75" customHeight="1">
      <c r="A24" s="276" t="s">
        <v>235</v>
      </c>
      <c r="B24" s="297" t="s">
        <v>146</v>
      </c>
      <c r="C24" s="235" t="s">
        <v>234</v>
      </c>
      <c r="D24" s="279">
        <f t="shared" si="9"/>
        <v>3450</v>
      </c>
      <c r="E24" s="279">
        <f t="shared" si="9"/>
        <v>1791.7</v>
      </c>
      <c r="F24" s="279">
        <f t="shared" si="9"/>
        <v>2090</v>
      </c>
      <c r="G24" s="279">
        <f>9214.3+37.1</f>
        <v>9251.4</v>
      </c>
      <c r="H24" s="279">
        <v>6445.7</v>
      </c>
      <c r="I24" s="279">
        <v>10000</v>
      </c>
      <c r="J24" s="280">
        <v>7800</v>
      </c>
      <c r="K24" s="285">
        <f>J24*1.058</f>
        <v>8252.4</v>
      </c>
      <c r="L24" s="286">
        <f>K24*1.055</f>
        <v>8706.282</v>
      </c>
      <c r="M24" s="283">
        <f>J24/3</f>
        <v>2600</v>
      </c>
      <c r="N24" s="283">
        <f>J24/3</f>
        <v>2600</v>
      </c>
      <c r="O24" s="283">
        <f>J24/3</f>
        <v>2600</v>
      </c>
      <c r="P24" s="283">
        <v>0</v>
      </c>
      <c r="Q24" s="280">
        <f>J24*108%</f>
        <v>8424</v>
      </c>
      <c r="R24" s="280">
        <f>Q24*106.9%</f>
        <v>9005.256</v>
      </c>
    </row>
    <row r="25" spans="1:18" ht="31.5" customHeight="1">
      <c r="A25" s="276" t="s">
        <v>224</v>
      </c>
      <c r="B25" s="297" t="s">
        <v>169</v>
      </c>
      <c r="C25" s="235" t="s">
        <v>242</v>
      </c>
      <c r="D25" s="279">
        <f>D26</f>
        <v>3450</v>
      </c>
      <c r="E25" s="279">
        <f>E26</f>
        <v>1791.7</v>
      </c>
      <c r="F25" s="279">
        <v>2090</v>
      </c>
      <c r="G25" s="279">
        <f aca="true" t="shared" si="10" ref="G25:R25">G26</f>
        <v>24</v>
      </c>
      <c r="H25" s="279">
        <f t="shared" si="10"/>
        <v>12</v>
      </c>
      <c r="I25" s="279">
        <f t="shared" si="10"/>
        <v>24</v>
      </c>
      <c r="J25" s="280">
        <f t="shared" si="10"/>
        <v>12.5</v>
      </c>
      <c r="K25" s="298">
        <f t="shared" si="10"/>
        <v>13.225000000000001</v>
      </c>
      <c r="L25" s="299">
        <f t="shared" si="10"/>
        <v>13.952375</v>
      </c>
      <c r="M25" s="283">
        <f t="shared" si="10"/>
        <v>3.125</v>
      </c>
      <c r="N25" s="283">
        <f t="shared" si="10"/>
        <v>3.125</v>
      </c>
      <c r="O25" s="283">
        <f t="shared" si="10"/>
        <v>3.125</v>
      </c>
      <c r="P25" s="283">
        <f t="shared" si="10"/>
        <v>3.125</v>
      </c>
      <c r="Q25" s="280">
        <f t="shared" si="10"/>
        <v>13.5</v>
      </c>
      <c r="R25" s="280">
        <f t="shared" si="10"/>
        <v>14.4315</v>
      </c>
    </row>
    <row r="26" spans="1:18" ht="65.25" customHeight="1" thickBot="1">
      <c r="A26" s="276" t="s">
        <v>223</v>
      </c>
      <c r="B26" s="297" t="s">
        <v>171</v>
      </c>
      <c r="C26" s="235" t="s">
        <v>221</v>
      </c>
      <c r="D26" s="279">
        <v>3450</v>
      </c>
      <c r="E26" s="279">
        <v>1791.7</v>
      </c>
      <c r="F26" s="279">
        <v>2090</v>
      </c>
      <c r="G26" s="279">
        <v>24</v>
      </c>
      <c r="H26" s="279">
        <v>12</v>
      </c>
      <c r="I26" s="279">
        <v>24</v>
      </c>
      <c r="J26" s="280">
        <v>12.5</v>
      </c>
      <c r="K26" s="285">
        <f>J26*1.058</f>
        <v>13.225000000000001</v>
      </c>
      <c r="L26" s="286">
        <f>K26*1.055</f>
        <v>13.952375</v>
      </c>
      <c r="M26" s="283">
        <f>J26/4</f>
        <v>3.125</v>
      </c>
      <c r="N26" s="283">
        <f>J26/4</f>
        <v>3.125</v>
      </c>
      <c r="O26" s="283">
        <f>J26/4</f>
        <v>3.125</v>
      </c>
      <c r="P26" s="283">
        <f>J26/4</f>
        <v>3.125</v>
      </c>
      <c r="Q26" s="280">
        <f>J26*108%</f>
        <v>13.5</v>
      </c>
      <c r="R26" s="280">
        <f>Q26*106.9%</f>
        <v>14.4315</v>
      </c>
    </row>
    <row r="27" spans="1:19" s="303" customFormat="1" ht="0.75" customHeight="1" hidden="1" thickBot="1">
      <c r="A27" s="289" t="s">
        <v>233</v>
      </c>
      <c r="B27" s="290" t="s">
        <v>26</v>
      </c>
      <c r="C27" s="300" t="s">
        <v>205</v>
      </c>
      <c r="D27" s="279">
        <v>15</v>
      </c>
      <c r="E27" s="279">
        <v>0</v>
      </c>
      <c r="F27" s="279">
        <v>15</v>
      </c>
      <c r="G27" s="293">
        <f aca="true" t="shared" si="11" ref="G27:L29">G28</f>
        <v>0</v>
      </c>
      <c r="H27" s="293">
        <f t="shared" si="11"/>
        <v>0</v>
      </c>
      <c r="I27" s="293">
        <f t="shared" si="11"/>
        <v>1402.9</v>
      </c>
      <c r="J27" s="293">
        <f t="shared" si="11"/>
        <v>0</v>
      </c>
      <c r="K27" s="301">
        <f t="shared" si="11"/>
        <v>0</v>
      </c>
      <c r="L27" s="301">
        <f t="shared" si="11"/>
        <v>0</v>
      </c>
      <c r="M27" s="116"/>
      <c r="N27" s="116"/>
      <c r="O27" s="116"/>
      <c r="P27" s="116"/>
      <c r="Q27" s="301" t="e">
        <f>Q28+Q32</f>
        <v>#REF!</v>
      </c>
      <c r="R27" s="301" t="e">
        <f>R28+R32</f>
        <v>#REF!</v>
      </c>
      <c r="S27" s="302"/>
    </row>
    <row r="28" spans="1:19" s="303" customFormat="1" ht="27" customHeight="1" hidden="1" thickBot="1">
      <c r="A28" s="276" t="s">
        <v>35</v>
      </c>
      <c r="B28" s="297" t="s">
        <v>206</v>
      </c>
      <c r="C28" s="236" t="s">
        <v>207</v>
      </c>
      <c r="D28" s="279" t="e">
        <f>D29+#REF!</f>
        <v>#REF!</v>
      </c>
      <c r="E28" s="279" t="e">
        <f>E29+#REF!</f>
        <v>#REF!</v>
      </c>
      <c r="F28" s="279" t="e">
        <f>F29+#REF!</f>
        <v>#REF!</v>
      </c>
      <c r="G28" s="280">
        <f t="shared" si="11"/>
        <v>0</v>
      </c>
      <c r="H28" s="280">
        <f t="shared" si="11"/>
        <v>0</v>
      </c>
      <c r="I28" s="280">
        <f t="shared" si="11"/>
        <v>1402.9</v>
      </c>
      <c r="J28" s="280">
        <f t="shared" si="11"/>
        <v>0</v>
      </c>
      <c r="K28" s="273">
        <f t="shared" si="11"/>
        <v>0</v>
      </c>
      <c r="L28" s="273">
        <f t="shared" si="11"/>
        <v>0</v>
      </c>
      <c r="M28" s="116"/>
      <c r="N28" s="116"/>
      <c r="O28" s="116"/>
      <c r="P28" s="116"/>
      <c r="Q28" s="280">
        <f>Q29</f>
        <v>0</v>
      </c>
      <c r="R28" s="280">
        <f>R29</f>
        <v>0</v>
      </c>
      <c r="S28" s="302"/>
    </row>
    <row r="29" spans="1:19" s="303" customFormat="1" ht="48" customHeight="1" hidden="1" thickBot="1">
      <c r="A29" s="276" t="s">
        <v>36</v>
      </c>
      <c r="B29" s="297" t="s">
        <v>208</v>
      </c>
      <c r="C29" s="236" t="s">
        <v>232</v>
      </c>
      <c r="D29" s="292" t="e">
        <f>D30+D40+D37</f>
        <v>#REF!</v>
      </c>
      <c r="E29" s="292" t="e">
        <f>E30+E40+E37</f>
        <v>#REF!</v>
      </c>
      <c r="F29" s="292" t="e">
        <f>F30+F40+F37</f>
        <v>#REF!</v>
      </c>
      <c r="G29" s="280">
        <f t="shared" si="11"/>
        <v>0</v>
      </c>
      <c r="H29" s="280">
        <f t="shared" si="11"/>
        <v>0</v>
      </c>
      <c r="I29" s="280">
        <f t="shared" si="11"/>
        <v>1402.9</v>
      </c>
      <c r="J29" s="280">
        <f t="shared" si="11"/>
        <v>0</v>
      </c>
      <c r="K29" s="280">
        <f t="shared" si="11"/>
        <v>0</v>
      </c>
      <c r="L29" s="280">
        <f t="shared" si="11"/>
        <v>0</v>
      </c>
      <c r="M29" s="116"/>
      <c r="N29" s="116"/>
      <c r="O29" s="116"/>
      <c r="P29" s="116"/>
      <c r="Q29" s="280">
        <f>Q30</f>
        <v>0</v>
      </c>
      <c r="R29" s="280">
        <f>R30</f>
        <v>0</v>
      </c>
      <c r="S29" s="302"/>
    </row>
    <row r="30" spans="1:19" s="275" customFormat="1" ht="72" customHeight="1" hidden="1" thickBot="1">
      <c r="A30" s="276" t="s">
        <v>95</v>
      </c>
      <c r="B30" s="297" t="s">
        <v>231</v>
      </c>
      <c r="C30" s="236" t="s">
        <v>230</v>
      </c>
      <c r="D30" s="292" t="e">
        <f>#REF!</f>
        <v>#REF!</v>
      </c>
      <c r="E30" s="292" t="e">
        <f>#REF!</f>
        <v>#REF!</v>
      </c>
      <c r="F30" s="292" t="e">
        <f>#REF!</f>
        <v>#REF!</v>
      </c>
      <c r="G30" s="280">
        <v>0</v>
      </c>
      <c r="H30" s="280">
        <v>0</v>
      </c>
      <c r="I30" s="280">
        <v>1402.9</v>
      </c>
      <c r="J30" s="280">
        <v>0</v>
      </c>
      <c r="K30" s="280">
        <f>J30*1.058</f>
        <v>0</v>
      </c>
      <c r="L30" s="280">
        <f>K30*1.055</f>
        <v>0</v>
      </c>
      <c r="M30" s="304"/>
      <c r="N30" s="304"/>
      <c r="O30" s="304"/>
      <c r="P30" s="304"/>
      <c r="Q30" s="280">
        <f>J30*108%</f>
        <v>0</v>
      </c>
      <c r="R30" s="280">
        <f>Q30*106.9%</f>
        <v>0</v>
      </c>
      <c r="S30" s="274"/>
    </row>
    <row r="31" spans="1:19" s="303" customFormat="1" ht="20.25" customHeight="1" thickBot="1">
      <c r="A31" s="289" t="s">
        <v>172</v>
      </c>
      <c r="B31" s="290" t="s">
        <v>14</v>
      </c>
      <c r="C31" s="291" t="s">
        <v>13</v>
      </c>
      <c r="D31" s="279">
        <v>15</v>
      </c>
      <c r="E31" s="279">
        <v>0</v>
      </c>
      <c r="F31" s="279">
        <v>15</v>
      </c>
      <c r="G31" s="292" t="e">
        <f aca="true" t="shared" si="12" ref="G31:R32">G32</f>
        <v>#REF!</v>
      </c>
      <c r="H31" s="292" t="e">
        <f t="shared" si="12"/>
        <v>#REF!</v>
      </c>
      <c r="I31" s="292" t="e">
        <f t="shared" si="12"/>
        <v>#REF!</v>
      </c>
      <c r="J31" s="293">
        <f t="shared" si="12"/>
        <v>3010</v>
      </c>
      <c r="K31" s="305" t="e">
        <f t="shared" si="12"/>
        <v>#REF!</v>
      </c>
      <c r="L31" s="306" t="e">
        <f t="shared" si="12"/>
        <v>#REF!</v>
      </c>
      <c r="M31" s="307" t="e">
        <f t="shared" si="12"/>
        <v>#REF!</v>
      </c>
      <c r="N31" s="307" t="e">
        <f t="shared" si="12"/>
        <v>#REF!</v>
      </c>
      <c r="O31" s="307" t="e">
        <f t="shared" si="12"/>
        <v>#REF!</v>
      </c>
      <c r="P31" s="307" t="e">
        <f t="shared" si="12"/>
        <v>#REF!</v>
      </c>
      <c r="Q31" s="273" t="e">
        <f t="shared" si="12"/>
        <v>#REF!</v>
      </c>
      <c r="R31" s="273" t="e">
        <f t="shared" si="12"/>
        <v>#REF!</v>
      </c>
      <c r="S31" s="302"/>
    </row>
    <row r="32" spans="1:19" s="303" customFormat="1" ht="43.5" customHeight="1">
      <c r="A32" s="276" t="s">
        <v>37</v>
      </c>
      <c r="B32" s="297" t="s">
        <v>243</v>
      </c>
      <c r="C32" s="235" t="s">
        <v>244</v>
      </c>
      <c r="D32" s="292" t="e">
        <f>D33+#REF!</f>
        <v>#REF!</v>
      </c>
      <c r="E32" s="292" t="e">
        <f>E33+#REF!</f>
        <v>#REF!</v>
      </c>
      <c r="F32" s="292" t="e">
        <f>F33+#REF!</f>
        <v>#REF!</v>
      </c>
      <c r="G32" s="279" t="e">
        <f t="shared" si="12"/>
        <v>#REF!</v>
      </c>
      <c r="H32" s="279" t="e">
        <f t="shared" si="12"/>
        <v>#REF!</v>
      </c>
      <c r="I32" s="279" t="e">
        <f t="shared" si="12"/>
        <v>#REF!</v>
      </c>
      <c r="J32" s="280">
        <f t="shared" si="12"/>
        <v>3010</v>
      </c>
      <c r="K32" s="308" t="e">
        <f t="shared" si="12"/>
        <v>#REF!</v>
      </c>
      <c r="L32" s="282" t="e">
        <f t="shared" si="12"/>
        <v>#REF!</v>
      </c>
      <c r="M32" s="283" t="e">
        <f t="shared" si="12"/>
        <v>#REF!</v>
      </c>
      <c r="N32" s="283" t="e">
        <f t="shared" si="12"/>
        <v>#REF!</v>
      </c>
      <c r="O32" s="283" t="e">
        <f t="shared" si="12"/>
        <v>#REF!</v>
      </c>
      <c r="P32" s="283" t="e">
        <f t="shared" si="12"/>
        <v>#REF!</v>
      </c>
      <c r="Q32" s="280" t="e">
        <f t="shared" si="12"/>
        <v>#REF!</v>
      </c>
      <c r="R32" s="280" t="e">
        <f t="shared" si="12"/>
        <v>#REF!</v>
      </c>
      <c r="S32" s="302"/>
    </row>
    <row r="33" spans="1:24" s="303" customFormat="1" ht="54" customHeight="1">
      <c r="A33" s="276" t="s">
        <v>38</v>
      </c>
      <c r="B33" s="297" t="s">
        <v>245</v>
      </c>
      <c r="C33" s="235" t="s">
        <v>246</v>
      </c>
      <c r="D33" s="292" t="e">
        <f>D34+D41+D38</f>
        <v>#REF!</v>
      </c>
      <c r="E33" s="292" t="e">
        <f>E34+E41+E38</f>
        <v>#REF!</v>
      </c>
      <c r="F33" s="292" t="e">
        <f>F34+F41+F38</f>
        <v>#REF!</v>
      </c>
      <c r="G33" s="279" t="e">
        <f>G34+#REF!</f>
        <v>#REF!</v>
      </c>
      <c r="H33" s="279" t="e">
        <f>H34+#REF!</f>
        <v>#REF!</v>
      </c>
      <c r="I33" s="279" t="e">
        <f>I34+#REF!</f>
        <v>#REF!</v>
      </c>
      <c r="J33" s="280">
        <f>J34</f>
        <v>3010</v>
      </c>
      <c r="K33" s="309" t="e">
        <f>K34+#REF!</f>
        <v>#REF!</v>
      </c>
      <c r="L33" s="310" t="e">
        <f>L34+#REF!</f>
        <v>#REF!</v>
      </c>
      <c r="M33" s="283" t="e">
        <f>M34+#REF!</f>
        <v>#REF!</v>
      </c>
      <c r="N33" s="283" t="e">
        <f>N34+#REF!</f>
        <v>#REF!</v>
      </c>
      <c r="O33" s="283" t="e">
        <f>O34+#REF!</f>
        <v>#REF!</v>
      </c>
      <c r="P33" s="283" t="e">
        <f>P34+#REF!</f>
        <v>#REF!</v>
      </c>
      <c r="Q33" s="280" t="e">
        <f>Q34+#REF!</f>
        <v>#REF!</v>
      </c>
      <c r="R33" s="280" t="e">
        <f>R34+#REF!</f>
        <v>#REF!</v>
      </c>
      <c r="S33" s="302"/>
      <c r="X33" s="311"/>
    </row>
    <row r="34" spans="1:19" s="275" customFormat="1" ht="68.25" customHeight="1">
      <c r="A34" s="276" t="s">
        <v>39</v>
      </c>
      <c r="B34" s="287" t="s">
        <v>114</v>
      </c>
      <c r="C34" s="235" t="s">
        <v>228</v>
      </c>
      <c r="D34" s="292">
        <f>D37</f>
        <v>5841.7</v>
      </c>
      <c r="E34" s="292">
        <f>E37</f>
        <v>4377.6</v>
      </c>
      <c r="F34" s="292">
        <f>F37</f>
        <v>5841.7</v>
      </c>
      <c r="G34" s="279">
        <v>20</v>
      </c>
      <c r="H34" s="279">
        <v>19.8</v>
      </c>
      <c r="I34" s="279">
        <v>30</v>
      </c>
      <c r="J34" s="280">
        <f>SUM(J35:J36)</f>
        <v>3010</v>
      </c>
      <c r="K34" s="285">
        <f>J34*1.058</f>
        <v>3184.5800000000004</v>
      </c>
      <c r="L34" s="286">
        <f>K34*1.055</f>
        <v>3359.7319</v>
      </c>
      <c r="M34" s="283">
        <f>J34/4</f>
        <v>752.5</v>
      </c>
      <c r="N34" s="283">
        <f>J34/4</f>
        <v>752.5</v>
      </c>
      <c r="O34" s="283">
        <f>J34/4</f>
        <v>752.5</v>
      </c>
      <c r="P34" s="283">
        <f>J34/4</f>
        <v>752.5</v>
      </c>
      <c r="Q34" s="280">
        <f>J34*108%</f>
        <v>3250.8</v>
      </c>
      <c r="R34" s="280">
        <f>Q34*106.9%</f>
        <v>3475.1052</v>
      </c>
      <c r="S34" s="274"/>
    </row>
    <row r="35" spans="1:18" ht="28.5" customHeight="1">
      <c r="A35" s="276" t="s">
        <v>229</v>
      </c>
      <c r="B35" s="287" t="s">
        <v>247</v>
      </c>
      <c r="C35" s="235" t="s">
        <v>246</v>
      </c>
      <c r="D35" s="292"/>
      <c r="E35" s="292"/>
      <c r="F35" s="292"/>
      <c r="G35" s="279"/>
      <c r="H35" s="279"/>
      <c r="I35" s="279"/>
      <c r="J35" s="280">
        <v>3000</v>
      </c>
      <c r="K35" s="312"/>
      <c r="L35" s="312"/>
      <c r="M35" s="279"/>
      <c r="N35" s="279"/>
      <c r="O35" s="279"/>
      <c r="P35" s="279"/>
      <c r="Q35" s="280"/>
      <c r="R35" s="280"/>
    </row>
    <row r="36" spans="1:18" ht="41.25" customHeight="1" thickBot="1">
      <c r="A36" s="276" t="s">
        <v>222</v>
      </c>
      <c r="B36" s="287" t="s">
        <v>248</v>
      </c>
      <c r="C36" s="235" t="s">
        <v>246</v>
      </c>
      <c r="D36" s="292"/>
      <c r="E36" s="292"/>
      <c r="F36" s="292"/>
      <c r="G36" s="279"/>
      <c r="H36" s="279"/>
      <c r="I36" s="279"/>
      <c r="J36" s="280">
        <v>10</v>
      </c>
      <c r="K36" s="312"/>
      <c r="L36" s="312"/>
      <c r="M36" s="279"/>
      <c r="N36" s="279"/>
      <c r="O36" s="279"/>
      <c r="P36" s="279"/>
      <c r="Q36" s="280"/>
      <c r="R36" s="280"/>
    </row>
    <row r="37" spans="1:18" ht="15.75" customHeight="1" thickBot="1">
      <c r="A37" s="289" t="s">
        <v>18</v>
      </c>
      <c r="B37" s="290" t="s">
        <v>15</v>
      </c>
      <c r="C37" s="313" t="s">
        <v>115</v>
      </c>
      <c r="D37" s="279">
        <v>5841.7</v>
      </c>
      <c r="E37" s="279">
        <v>4377.6</v>
      </c>
      <c r="F37" s="279">
        <v>5841.7</v>
      </c>
      <c r="G37" s="292" t="e">
        <f aca="true" t="shared" si="13" ref="G37:R37">G38</f>
        <v>#REF!</v>
      </c>
      <c r="H37" s="292" t="e">
        <f t="shared" si="13"/>
        <v>#REF!</v>
      </c>
      <c r="I37" s="292" t="e">
        <f t="shared" si="13"/>
        <v>#REF!</v>
      </c>
      <c r="J37" s="293">
        <f t="shared" si="13"/>
        <v>144416</v>
      </c>
      <c r="K37" s="314" t="e">
        <f t="shared" si="13"/>
        <v>#REF!</v>
      </c>
      <c r="L37" s="315" t="e">
        <f t="shared" si="13"/>
        <v>#REF!</v>
      </c>
      <c r="M37" s="316" t="e">
        <f t="shared" si="13"/>
        <v>#REF!</v>
      </c>
      <c r="N37" s="316" t="e">
        <f t="shared" si="13"/>
        <v>#REF!</v>
      </c>
      <c r="O37" s="316" t="e">
        <f t="shared" si="13"/>
        <v>#REF!</v>
      </c>
      <c r="P37" s="316" t="e">
        <f t="shared" si="13"/>
        <v>#REF!</v>
      </c>
      <c r="Q37" s="265" t="e">
        <f t="shared" si="13"/>
        <v>#REF!</v>
      </c>
      <c r="R37" s="265" t="e">
        <f t="shared" si="13"/>
        <v>#REF!</v>
      </c>
    </row>
    <row r="38" spans="1:18" ht="42" customHeight="1" thickBot="1">
      <c r="A38" s="289">
        <v>1</v>
      </c>
      <c r="B38" s="290" t="s">
        <v>259</v>
      </c>
      <c r="C38" s="291" t="s">
        <v>194</v>
      </c>
      <c r="D38" s="292">
        <v>0</v>
      </c>
      <c r="E38" s="292">
        <v>0</v>
      </c>
      <c r="F38" s="292">
        <v>0</v>
      </c>
      <c r="G38" s="292" t="e">
        <f>G39+G44+#REF!</f>
        <v>#REF!</v>
      </c>
      <c r="H38" s="292" t="e">
        <f>H39+H44+#REF!</f>
        <v>#REF!</v>
      </c>
      <c r="I38" s="292" t="e">
        <f>I39+I44+#REF!</f>
        <v>#REF!</v>
      </c>
      <c r="J38" s="293">
        <f>J39+J44</f>
        <v>144416</v>
      </c>
      <c r="K38" s="317" t="e">
        <f>K39+K44+#REF!</f>
        <v>#REF!</v>
      </c>
      <c r="L38" s="318" t="e">
        <f>L39+L44+#REF!</f>
        <v>#REF!</v>
      </c>
      <c r="M38" s="307" t="e">
        <f>M39+M44+#REF!</f>
        <v>#REF!</v>
      </c>
      <c r="N38" s="307" t="e">
        <f>N39+N44+#REF!</f>
        <v>#REF!</v>
      </c>
      <c r="O38" s="307" t="e">
        <f>O39+O44+#REF!</f>
        <v>#REF!</v>
      </c>
      <c r="P38" s="307" t="e">
        <f>P39+P44+#REF!</f>
        <v>#REF!</v>
      </c>
      <c r="Q38" s="273" t="e">
        <f>Q39+Q44+#REF!</f>
        <v>#REF!</v>
      </c>
      <c r="R38" s="273" t="e">
        <f>R39+R44+#REF!</f>
        <v>#REF!</v>
      </c>
    </row>
    <row r="39" spans="1:19" s="303" customFormat="1" ht="23.25" customHeight="1">
      <c r="A39" s="276" t="s">
        <v>31</v>
      </c>
      <c r="B39" s="287" t="s">
        <v>261</v>
      </c>
      <c r="C39" s="235" t="s">
        <v>262</v>
      </c>
      <c r="D39" s="279">
        <f>D40</f>
        <v>0</v>
      </c>
      <c r="E39" s="279">
        <f>E40</f>
        <v>0</v>
      </c>
      <c r="F39" s="279">
        <f>F40</f>
        <v>0</v>
      </c>
      <c r="G39" s="279">
        <f>G41</f>
        <v>8472</v>
      </c>
      <c r="H39" s="279">
        <f>H41</f>
        <v>5648</v>
      </c>
      <c r="I39" s="279">
        <f>H39/8*12</f>
        <v>8472</v>
      </c>
      <c r="J39" s="280">
        <f>J41+J43</f>
        <v>142549.3</v>
      </c>
      <c r="K39" s="319">
        <f aca="true" t="shared" si="14" ref="K39:R39">K41</f>
        <v>58000</v>
      </c>
      <c r="L39" s="320">
        <f t="shared" si="14"/>
        <v>58000</v>
      </c>
      <c r="M39" s="283">
        <f t="shared" si="14"/>
        <v>35627.975</v>
      </c>
      <c r="N39" s="283">
        <f t="shared" si="14"/>
        <v>35627.975</v>
      </c>
      <c r="O39" s="283">
        <f t="shared" si="14"/>
        <v>35627.975</v>
      </c>
      <c r="P39" s="283">
        <f t="shared" si="14"/>
        <v>35627.975</v>
      </c>
      <c r="Q39" s="280">
        <f t="shared" si="14"/>
        <v>153912.852</v>
      </c>
      <c r="R39" s="280">
        <f t="shared" si="14"/>
        <v>164532.838788</v>
      </c>
      <c r="S39" s="302"/>
    </row>
    <row r="40" spans="1:20" s="303" customFormat="1" ht="19.5" customHeight="1">
      <c r="A40" s="276" t="s">
        <v>17</v>
      </c>
      <c r="B40" s="287" t="s">
        <v>260</v>
      </c>
      <c r="C40" s="235" t="s">
        <v>109</v>
      </c>
      <c r="D40" s="279">
        <v>0</v>
      </c>
      <c r="E40" s="279">
        <v>0</v>
      </c>
      <c r="F40" s="279">
        <v>0</v>
      </c>
      <c r="G40" s="279">
        <f>G41</f>
        <v>8472</v>
      </c>
      <c r="H40" s="279">
        <f>H41</f>
        <v>5648</v>
      </c>
      <c r="I40" s="279">
        <f>H40/8*12</f>
        <v>8472</v>
      </c>
      <c r="J40" s="280">
        <f aca="true" t="shared" si="15" ref="J40:R40">J41</f>
        <v>142511.9</v>
      </c>
      <c r="K40" s="321">
        <f t="shared" si="15"/>
        <v>58000</v>
      </c>
      <c r="L40" s="322">
        <f t="shared" si="15"/>
        <v>58000</v>
      </c>
      <c r="M40" s="283">
        <f t="shared" si="15"/>
        <v>35627.975</v>
      </c>
      <c r="N40" s="283">
        <f t="shared" si="15"/>
        <v>35627.975</v>
      </c>
      <c r="O40" s="283">
        <f t="shared" si="15"/>
        <v>35627.975</v>
      </c>
      <c r="P40" s="283">
        <f t="shared" si="15"/>
        <v>35627.975</v>
      </c>
      <c r="Q40" s="280">
        <f t="shared" si="15"/>
        <v>153912.852</v>
      </c>
      <c r="R40" s="280">
        <f t="shared" si="15"/>
        <v>164532.838788</v>
      </c>
      <c r="S40" s="302"/>
      <c r="T40" s="302">
        <f>J52-J44</f>
        <v>142990.59999999998</v>
      </c>
    </row>
    <row r="41" spans="1:20" s="303" customFormat="1" ht="56.25" customHeight="1">
      <c r="A41" s="276" t="s">
        <v>16</v>
      </c>
      <c r="B41" s="287" t="s">
        <v>254</v>
      </c>
      <c r="C41" s="235" t="s">
        <v>263</v>
      </c>
      <c r="D41" s="279" t="e">
        <f>#REF!+D45</f>
        <v>#REF!</v>
      </c>
      <c r="E41" s="279" t="e">
        <f>#REF!+E45</f>
        <v>#REF!</v>
      </c>
      <c r="F41" s="279" t="e">
        <f>#REF!+F45</f>
        <v>#REF!</v>
      </c>
      <c r="G41" s="279">
        <v>8472</v>
      </c>
      <c r="H41" s="279">
        <v>5648</v>
      </c>
      <c r="I41" s="279">
        <f>H41/8*12</f>
        <v>8472</v>
      </c>
      <c r="J41" s="280">
        <v>142511.9</v>
      </c>
      <c r="K41" s="323">
        <v>58000</v>
      </c>
      <c r="L41" s="324">
        <v>58000</v>
      </c>
      <c r="M41" s="283">
        <f>J41/4</f>
        <v>35627.975</v>
      </c>
      <c r="N41" s="283">
        <f>J41/4</f>
        <v>35627.975</v>
      </c>
      <c r="O41" s="283">
        <f>J41/4</f>
        <v>35627.975</v>
      </c>
      <c r="P41" s="283">
        <f>J41/4</f>
        <v>35627.975</v>
      </c>
      <c r="Q41" s="280">
        <f>J41*108%</f>
        <v>153912.852</v>
      </c>
      <c r="R41" s="280">
        <f>Q41*106.9%</f>
        <v>164532.838788</v>
      </c>
      <c r="S41" s="302"/>
      <c r="T41" s="302">
        <f>T40*0.278</f>
        <v>39751.3868</v>
      </c>
    </row>
    <row r="42" spans="1:20" s="303" customFormat="1" ht="31.5" customHeight="1">
      <c r="A42" s="276" t="s">
        <v>32</v>
      </c>
      <c r="B42" s="287" t="s">
        <v>275</v>
      </c>
      <c r="C42" s="235" t="s">
        <v>274</v>
      </c>
      <c r="D42" s="279"/>
      <c r="E42" s="279"/>
      <c r="F42" s="279"/>
      <c r="G42" s="279"/>
      <c r="H42" s="279"/>
      <c r="I42" s="279"/>
      <c r="J42" s="280">
        <v>37.4</v>
      </c>
      <c r="K42" s="325"/>
      <c r="L42" s="326"/>
      <c r="M42" s="283"/>
      <c r="N42" s="283"/>
      <c r="O42" s="283"/>
      <c r="P42" s="283"/>
      <c r="Q42" s="280"/>
      <c r="R42" s="280"/>
      <c r="S42" s="302"/>
      <c r="T42" s="302"/>
    </row>
    <row r="43" spans="1:20" s="303" customFormat="1" ht="45" customHeight="1" thickBot="1">
      <c r="A43" s="276" t="s">
        <v>119</v>
      </c>
      <c r="B43" s="287" t="s">
        <v>272</v>
      </c>
      <c r="C43" s="235" t="s">
        <v>273</v>
      </c>
      <c r="D43" s="279"/>
      <c r="E43" s="279"/>
      <c r="F43" s="279"/>
      <c r="G43" s="279"/>
      <c r="H43" s="279"/>
      <c r="I43" s="279"/>
      <c r="J43" s="280">
        <v>37.4</v>
      </c>
      <c r="K43" s="325"/>
      <c r="L43" s="326"/>
      <c r="M43" s="283"/>
      <c r="N43" s="283"/>
      <c r="O43" s="283"/>
      <c r="P43" s="283"/>
      <c r="Q43" s="280"/>
      <c r="R43" s="280"/>
      <c r="S43" s="302"/>
      <c r="T43" s="302"/>
    </row>
    <row r="44" spans="1:18" ht="33.75" customHeight="1" thickBot="1">
      <c r="A44" s="289">
        <v>2</v>
      </c>
      <c r="B44" s="290" t="s">
        <v>264</v>
      </c>
      <c r="C44" s="291" t="s">
        <v>227</v>
      </c>
      <c r="D44" s="279">
        <v>12.7</v>
      </c>
      <c r="E44" s="279">
        <v>0</v>
      </c>
      <c r="F44" s="279">
        <v>12.7</v>
      </c>
      <c r="G44" s="292" t="e">
        <f aca="true" t="shared" si="16" ref="G44:R44">G45+G49</f>
        <v>#REF!</v>
      </c>
      <c r="H44" s="292" t="e">
        <f t="shared" si="16"/>
        <v>#REF!</v>
      </c>
      <c r="I44" s="292" t="e">
        <f t="shared" si="16"/>
        <v>#REF!</v>
      </c>
      <c r="J44" s="293">
        <f t="shared" si="16"/>
        <v>1866.6999999999998</v>
      </c>
      <c r="K44" s="305" t="e">
        <f t="shared" si="16"/>
        <v>#REF!</v>
      </c>
      <c r="L44" s="306" t="e">
        <f t="shared" si="16"/>
        <v>#REF!</v>
      </c>
      <c r="M44" s="307" t="e">
        <f t="shared" si="16"/>
        <v>#REF!</v>
      </c>
      <c r="N44" s="307" t="e">
        <f t="shared" si="16"/>
        <v>#REF!</v>
      </c>
      <c r="O44" s="307" t="e">
        <f t="shared" si="16"/>
        <v>#REF!</v>
      </c>
      <c r="P44" s="307" t="e">
        <f t="shared" si="16"/>
        <v>#REF!</v>
      </c>
      <c r="Q44" s="273" t="e">
        <f t="shared" si="16"/>
        <v>#REF!</v>
      </c>
      <c r="R44" s="273" t="e">
        <f t="shared" si="16"/>
        <v>#REF!</v>
      </c>
    </row>
    <row r="45" spans="1:18" ht="33" customHeight="1">
      <c r="A45" s="276" t="s">
        <v>33</v>
      </c>
      <c r="B45" s="297" t="s">
        <v>265</v>
      </c>
      <c r="C45" s="235" t="s">
        <v>45</v>
      </c>
      <c r="D45" s="292">
        <f>D47</f>
        <v>228.1</v>
      </c>
      <c r="E45" s="292">
        <f>E47</f>
        <v>114.1</v>
      </c>
      <c r="F45" s="292">
        <f>F47</f>
        <v>228.1</v>
      </c>
      <c r="G45" s="279">
        <f>G46</f>
        <v>662.2</v>
      </c>
      <c r="H45" s="279">
        <f>H46</f>
        <v>485.4</v>
      </c>
      <c r="I45" s="279">
        <f>H45/8*12</f>
        <v>728.0999999999999</v>
      </c>
      <c r="J45" s="280">
        <f>J47+J48</f>
        <v>908.1999999999999</v>
      </c>
      <c r="K45" s="327">
        <f aca="true" t="shared" si="17" ref="K45:P45">K46</f>
        <v>740.1</v>
      </c>
      <c r="L45" s="328">
        <f t="shared" si="17"/>
        <v>780.8</v>
      </c>
      <c r="M45" s="283">
        <f t="shared" si="17"/>
        <v>227.04999999999998</v>
      </c>
      <c r="N45" s="283">
        <f t="shared" si="17"/>
        <v>227.04999999999998</v>
      </c>
      <c r="O45" s="283">
        <f t="shared" si="17"/>
        <v>227.04999999999998</v>
      </c>
      <c r="P45" s="283">
        <f t="shared" si="17"/>
        <v>227.04999999999998</v>
      </c>
      <c r="Q45" s="329">
        <f>Q47+Q48</f>
        <v>980.856</v>
      </c>
      <c r="R45" s="329">
        <f>R47+R48</f>
        <v>1048.535064</v>
      </c>
    </row>
    <row r="46" spans="1:18" ht="48.75" customHeight="1">
      <c r="A46" s="276" t="s">
        <v>34</v>
      </c>
      <c r="B46" s="297" t="s">
        <v>266</v>
      </c>
      <c r="C46" s="235" t="s">
        <v>226</v>
      </c>
      <c r="D46" s="279">
        <v>228.1</v>
      </c>
      <c r="E46" s="279">
        <v>114.1</v>
      </c>
      <c r="F46" s="279">
        <v>228.1</v>
      </c>
      <c r="G46" s="279">
        <f aca="true" t="shared" si="18" ref="G46:L46">G47+G48</f>
        <v>662.2</v>
      </c>
      <c r="H46" s="279">
        <f t="shared" si="18"/>
        <v>485.4</v>
      </c>
      <c r="I46" s="279">
        <f t="shared" si="18"/>
        <v>662.2</v>
      </c>
      <c r="J46" s="280">
        <f t="shared" si="18"/>
        <v>908.1999999999999</v>
      </c>
      <c r="K46" s="330">
        <f t="shared" si="18"/>
        <v>740.1</v>
      </c>
      <c r="L46" s="331">
        <f t="shared" si="18"/>
        <v>780.8</v>
      </c>
      <c r="M46" s="283">
        <f>J46/4</f>
        <v>227.04999999999998</v>
      </c>
      <c r="N46" s="283">
        <f>J46/4</f>
        <v>227.04999999999998</v>
      </c>
      <c r="O46" s="283">
        <f>J46/4</f>
        <v>227.04999999999998</v>
      </c>
      <c r="P46" s="283">
        <f>J46/4</f>
        <v>227.04999999999998</v>
      </c>
      <c r="Q46" s="329">
        <f>Q47</f>
        <v>972.432</v>
      </c>
      <c r="R46" s="329">
        <f>R47</f>
        <v>1039.529808</v>
      </c>
    </row>
    <row r="47" spans="1:18" ht="67.5" customHeight="1">
      <c r="A47" s="276" t="s">
        <v>116</v>
      </c>
      <c r="B47" s="287" t="s">
        <v>267</v>
      </c>
      <c r="C47" s="209" t="s">
        <v>174</v>
      </c>
      <c r="D47" s="279">
        <v>228.1</v>
      </c>
      <c r="E47" s="279">
        <v>114.1</v>
      </c>
      <c r="F47" s="279">
        <v>228.1</v>
      </c>
      <c r="G47" s="279">
        <v>657.2</v>
      </c>
      <c r="H47" s="279">
        <v>485.4</v>
      </c>
      <c r="I47" s="279">
        <v>657.2</v>
      </c>
      <c r="J47" s="280">
        <v>900.4</v>
      </c>
      <c r="K47" s="309">
        <v>740.1</v>
      </c>
      <c r="L47" s="310">
        <v>780.8</v>
      </c>
      <c r="M47" s="283">
        <f>J47/4</f>
        <v>225.1</v>
      </c>
      <c r="N47" s="283">
        <f>J47/4</f>
        <v>225.1</v>
      </c>
      <c r="O47" s="283">
        <f>J47/4</f>
        <v>225.1</v>
      </c>
      <c r="P47" s="283">
        <f>J47/4</f>
        <v>225.1</v>
      </c>
      <c r="Q47" s="280">
        <f>J47*108%</f>
        <v>972.432</v>
      </c>
      <c r="R47" s="280">
        <f>Q47*106.9%</f>
        <v>1039.529808</v>
      </c>
    </row>
    <row r="48" spans="1:18" ht="96.75" customHeight="1" thickBot="1">
      <c r="A48" s="276" t="s">
        <v>225</v>
      </c>
      <c r="B48" s="287" t="s">
        <v>255</v>
      </c>
      <c r="C48" s="209" t="s">
        <v>176</v>
      </c>
      <c r="D48" s="279">
        <v>228.1</v>
      </c>
      <c r="E48" s="279">
        <v>114.1</v>
      </c>
      <c r="F48" s="279">
        <v>228.1</v>
      </c>
      <c r="G48" s="279">
        <v>5</v>
      </c>
      <c r="H48" s="279"/>
      <c r="I48" s="279">
        <v>5</v>
      </c>
      <c r="J48" s="280">
        <v>7.8</v>
      </c>
      <c r="K48" s="332"/>
      <c r="L48" s="333"/>
      <c r="M48" s="283">
        <f>J48/4</f>
        <v>1.95</v>
      </c>
      <c r="N48" s="283">
        <f>J48/4</f>
        <v>1.95</v>
      </c>
      <c r="O48" s="283">
        <f>J48/4</f>
        <v>1.95</v>
      </c>
      <c r="P48" s="283">
        <f>J48/4</f>
        <v>1.95</v>
      </c>
      <c r="Q48" s="280">
        <f>J48*108%</f>
        <v>8.424</v>
      </c>
      <c r="R48" s="280">
        <f>Q48*106.9%</f>
        <v>9.005256</v>
      </c>
    </row>
    <row r="49" spans="1:18" ht="43.5" customHeight="1" thickBot="1">
      <c r="A49" s="276" t="s">
        <v>224</v>
      </c>
      <c r="B49" s="287" t="s">
        <v>268</v>
      </c>
      <c r="C49" s="209" t="s">
        <v>177</v>
      </c>
      <c r="D49" s="280" t="e">
        <f>D10+D32</f>
        <v>#REF!</v>
      </c>
      <c r="E49" s="280" t="e">
        <f>E10+E32</f>
        <v>#REF!</v>
      </c>
      <c r="F49" s="280" t="e">
        <f>F10+F32</f>
        <v>#REF!</v>
      </c>
      <c r="G49" s="279" t="e">
        <f>G51+#REF!</f>
        <v>#REF!</v>
      </c>
      <c r="H49" s="279" t="e">
        <f>H51+#REF!</f>
        <v>#REF!</v>
      </c>
      <c r="I49" s="279" t="e">
        <f>I51+#REF!</f>
        <v>#REF!</v>
      </c>
      <c r="J49" s="280">
        <f>J51</f>
        <v>958.5</v>
      </c>
      <c r="K49" s="334" t="e">
        <f>K51+#REF!</f>
        <v>#REF!</v>
      </c>
      <c r="L49" s="335" t="e">
        <f>L51+#REF!</f>
        <v>#REF!</v>
      </c>
      <c r="M49" s="283" t="e">
        <f>M51+#REF!</f>
        <v>#REF!</v>
      </c>
      <c r="N49" s="283" t="e">
        <f>N51+#REF!</f>
        <v>#REF!</v>
      </c>
      <c r="O49" s="283" t="e">
        <f>O51+#REF!</f>
        <v>#REF!</v>
      </c>
      <c r="P49" s="283" t="e">
        <f>P51+#REF!</f>
        <v>#REF!</v>
      </c>
      <c r="Q49" s="280" t="e">
        <f>Q51+#REF!</f>
        <v>#REF!</v>
      </c>
      <c r="R49" s="280" t="e">
        <f>R51+#REF!</f>
        <v>#REF!</v>
      </c>
    </row>
    <row r="50" spans="1:18" ht="43.5" customHeight="1">
      <c r="A50" s="276" t="s">
        <v>223</v>
      </c>
      <c r="B50" s="287" t="s">
        <v>270</v>
      </c>
      <c r="C50" s="235" t="s">
        <v>271</v>
      </c>
      <c r="D50" s="292" t="e">
        <f>D48-#REF!</f>
        <v>#REF!</v>
      </c>
      <c r="E50" s="292" t="e">
        <f>E48-#REF!</f>
        <v>#REF!</v>
      </c>
      <c r="F50" s="292" t="e">
        <f>F48-#REF!</f>
        <v>#REF!</v>
      </c>
      <c r="G50" s="279">
        <v>602.4</v>
      </c>
      <c r="H50" s="279">
        <v>258</v>
      </c>
      <c r="I50" s="279">
        <f>H50/8*12</f>
        <v>387</v>
      </c>
      <c r="J50" s="280">
        <v>958.5</v>
      </c>
      <c r="K50" s="336"/>
      <c r="L50" s="337"/>
      <c r="M50" s="283"/>
      <c r="N50" s="283"/>
      <c r="O50" s="283"/>
      <c r="P50" s="283"/>
      <c r="Q50" s="280"/>
      <c r="R50" s="280"/>
    </row>
    <row r="51" spans="1:19" ht="44.25" customHeight="1" thickBot="1">
      <c r="A51" s="276" t="s">
        <v>269</v>
      </c>
      <c r="B51" s="287" t="s">
        <v>256</v>
      </c>
      <c r="C51" s="235" t="s">
        <v>178</v>
      </c>
      <c r="D51" s="292" t="e">
        <f>D49-#REF!</f>
        <v>#REF!</v>
      </c>
      <c r="E51" s="292" t="e">
        <f>E49-#REF!</f>
        <v>#REF!</v>
      </c>
      <c r="F51" s="292" t="e">
        <f>F49-#REF!</f>
        <v>#REF!</v>
      </c>
      <c r="G51" s="279">
        <v>602.4</v>
      </c>
      <c r="H51" s="279">
        <v>258</v>
      </c>
      <c r="I51" s="279">
        <f>H51/8*12</f>
        <v>387</v>
      </c>
      <c r="J51" s="280">
        <v>958.5</v>
      </c>
      <c r="K51" s="338">
        <v>1155.3</v>
      </c>
      <c r="L51" s="310">
        <v>1218.8</v>
      </c>
      <c r="M51" s="283">
        <f>J51/4</f>
        <v>239.625</v>
      </c>
      <c r="N51" s="283">
        <f>J51/4</f>
        <v>239.625</v>
      </c>
      <c r="O51" s="283">
        <f>J51/4</f>
        <v>239.625</v>
      </c>
      <c r="P51" s="283">
        <f>J51/4</f>
        <v>239.625</v>
      </c>
      <c r="Q51" s="280">
        <f>J51*108%</f>
        <v>1035.18</v>
      </c>
      <c r="R51" s="280">
        <f>Q51*106.9%</f>
        <v>1106.60742</v>
      </c>
      <c r="S51" s="2"/>
    </row>
    <row r="52" spans="1:19" ht="19.5" thickBot="1">
      <c r="A52" s="348" t="s">
        <v>7</v>
      </c>
      <c r="B52" s="349"/>
      <c r="C52" s="350"/>
      <c r="D52" s="293" t="e">
        <f>D49-D32</f>
        <v>#REF!</v>
      </c>
      <c r="E52" s="293" t="e">
        <f>E49-E32</f>
        <v>#REF!</v>
      </c>
      <c r="F52" s="293" t="e">
        <f>F49-F32</f>
        <v>#REF!</v>
      </c>
      <c r="G52" s="293" t="e">
        <f aca="true" t="shared" si="19" ref="G52:R52">G10+G37</f>
        <v>#REF!</v>
      </c>
      <c r="H52" s="293" t="e">
        <f t="shared" si="19"/>
        <v>#REF!</v>
      </c>
      <c r="I52" s="293" t="e">
        <f t="shared" si="19"/>
        <v>#REF!</v>
      </c>
      <c r="J52" s="293">
        <f t="shared" si="19"/>
        <v>144857.3</v>
      </c>
      <c r="K52" s="339" t="e">
        <f t="shared" si="19"/>
        <v>#REF!</v>
      </c>
      <c r="L52" s="340" t="e">
        <f t="shared" si="19"/>
        <v>#REF!</v>
      </c>
      <c r="M52" s="288" t="e">
        <f t="shared" si="19"/>
        <v>#REF!</v>
      </c>
      <c r="N52" s="288" t="e">
        <f t="shared" si="19"/>
        <v>#REF!</v>
      </c>
      <c r="O52" s="288" t="e">
        <f t="shared" si="19"/>
        <v>#REF!</v>
      </c>
      <c r="P52" s="288" t="e">
        <f t="shared" si="19"/>
        <v>#REF!</v>
      </c>
      <c r="Q52" s="293" t="e">
        <f t="shared" si="19"/>
        <v>#REF!</v>
      </c>
      <c r="R52" s="293" t="e">
        <f t="shared" si="19"/>
        <v>#REF!</v>
      </c>
      <c r="S52" s="2"/>
    </row>
    <row r="56" spans="16:19" ht="12.75">
      <c r="P56" s="113"/>
      <c r="S56" s="2"/>
    </row>
  </sheetData>
  <sheetProtection/>
  <mergeCells count="8">
    <mergeCell ref="A52:C52"/>
    <mergeCell ref="A8:P8"/>
    <mergeCell ref="C1:P1"/>
    <mergeCell ref="C3:J3"/>
    <mergeCell ref="C4:J4"/>
    <mergeCell ref="C5:P5"/>
    <mergeCell ref="C6:R6"/>
    <mergeCell ref="A7:P7"/>
  </mergeCells>
  <printOptions/>
  <pageMargins left="0.5905511811023623" right="0.3937007874015748" top="0.3937007874015748" bottom="0.3937007874015748" header="0" footer="0"/>
  <pageSetup fitToHeight="6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7.7109375" style="0" customWidth="1"/>
    <col min="2" max="2" width="46.8515625" style="0" customWidth="1"/>
    <col min="3" max="3" width="21.421875" style="0" customWidth="1"/>
  </cols>
  <sheetData>
    <row r="1" spans="1:3" ht="25.5">
      <c r="A1" s="240"/>
      <c r="B1" s="241"/>
      <c r="C1" s="242" t="s">
        <v>276</v>
      </c>
    </row>
    <row r="2" spans="1:3" ht="12.75" customHeight="1">
      <c r="A2" s="243"/>
      <c r="B2" s="243"/>
      <c r="C2" s="234" t="s">
        <v>249</v>
      </c>
    </row>
    <row r="3" spans="1:10" ht="12.75">
      <c r="A3" s="111"/>
      <c r="B3" s="111"/>
      <c r="C3" s="244"/>
      <c r="D3" s="111"/>
      <c r="E3" s="111"/>
      <c r="F3" s="111"/>
      <c r="G3" s="111"/>
      <c r="H3" s="111"/>
      <c r="I3" s="111"/>
      <c r="J3" s="111"/>
    </row>
    <row r="4" spans="1:10" ht="12.75">
      <c r="A4" s="239"/>
      <c r="B4" s="355"/>
      <c r="C4" s="355"/>
      <c r="D4" s="111"/>
      <c r="E4" s="111"/>
      <c r="F4" s="111"/>
      <c r="G4" s="111"/>
      <c r="H4" s="111"/>
      <c r="I4" s="111"/>
      <c r="J4" s="111"/>
    </row>
    <row r="5" spans="1:3" ht="15.75">
      <c r="A5" s="358" t="s">
        <v>277</v>
      </c>
      <c r="B5" s="358"/>
      <c r="C5" s="358"/>
    </row>
    <row r="6" spans="1:3" ht="15.75">
      <c r="A6" s="358" t="s">
        <v>278</v>
      </c>
      <c r="B6" s="358"/>
      <c r="C6" s="358"/>
    </row>
    <row r="7" spans="1:3" ht="15.75">
      <c r="A7" s="358" t="s">
        <v>279</v>
      </c>
      <c r="B7" s="358"/>
      <c r="C7" s="358"/>
    </row>
    <row r="8" spans="1:3" ht="15">
      <c r="A8" s="359" t="s">
        <v>280</v>
      </c>
      <c r="B8" s="359"/>
      <c r="C8" s="359"/>
    </row>
    <row r="9" spans="1:3" ht="14.25">
      <c r="A9" s="245" t="s">
        <v>281</v>
      </c>
      <c r="B9" s="245" t="s">
        <v>282</v>
      </c>
      <c r="C9" s="245" t="s">
        <v>283</v>
      </c>
    </row>
    <row r="10" spans="1:3" ht="13.5" customHeight="1">
      <c r="A10" s="360" t="s">
        <v>284</v>
      </c>
      <c r="B10" s="361"/>
      <c r="C10" s="245"/>
    </row>
    <row r="11" spans="1:3" ht="45" customHeight="1">
      <c r="A11" s="246" t="s">
        <v>285</v>
      </c>
      <c r="B11" s="246" t="s">
        <v>286</v>
      </c>
      <c r="C11" s="247">
        <f>C16+C12</f>
        <v>0</v>
      </c>
    </row>
    <row r="12" spans="1:3" ht="45" customHeight="1">
      <c r="A12" s="246" t="s">
        <v>287</v>
      </c>
      <c r="B12" s="246" t="s">
        <v>288</v>
      </c>
      <c r="C12" s="248">
        <f>C13</f>
        <v>-144857.3</v>
      </c>
    </row>
    <row r="13" spans="1:3" ht="45" customHeight="1">
      <c r="A13" s="249" t="s">
        <v>289</v>
      </c>
      <c r="B13" s="249" t="s">
        <v>290</v>
      </c>
      <c r="C13" s="250">
        <f>C14</f>
        <v>-144857.3</v>
      </c>
    </row>
    <row r="14" spans="1:3" ht="45" customHeight="1">
      <c r="A14" s="249" t="s">
        <v>291</v>
      </c>
      <c r="B14" s="249" t="s">
        <v>292</v>
      </c>
      <c r="C14" s="250">
        <f>C15</f>
        <v>-144857.3</v>
      </c>
    </row>
    <row r="15" spans="1:3" ht="58.5" customHeight="1">
      <c r="A15" s="249" t="s">
        <v>293</v>
      </c>
      <c r="B15" s="249" t="s">
        <v>294</v>
      </c>
      <c r="C15" s="250">
        <v>-144857.3</v>
      </c>
    </row>
    <row r="16" spans="1:3" ht="45" customHeight="1">
      <c r="A16" s="246" t="s">
        <v>295</v>
      </c>
      <c r="B16" s="246" t="s">
        <v>296</v>
      </c>
      <c r="C16" s="248">
        <f>C17</f>
        <v>144857.3</v>
      </c>
    </row>
    <row r="17" spans="1:3" ht="45" customHeight="1">
      <c r="A17" s="249" t="s">
        <v>297</v>
      </c>
      <c r="B17" s="249" t="s">
        <v>298</v>
      </c>
      <c r="C17" s="250">
        <f>C18</f>
        <v>144857.3</v>
      </c>
    </row>
    <row r="18" spans="1:3" ht="45" customHeight="1">
      <c r="A18" s="249" t="s">
        <v>299</v>
      </c>
      <c r="B18" s="249" t="s">
        <v>300</v>
      </c>
      <c r="C18" s="250">
        <f>C19</f>
        <v>144857.3</v>
      </c>
    </row>
    <row r="19" spans="1:3" ht="63.75" customHeight="1">
      <c r="A19" s="249" t="s">
        <v>301</v>
      </c>
      <c r="B19" s="249" t="s">
        <v>302</v>
      </c>
      <c r="C19" s="250">
        <v>144857.3</v>
      </c>
    </row>
    <row r="20" spans="1:3" ht="13.5" customHeight="1">
      <c r="A20" s="356" t="s">
        <v>303</v>
      </c>
      <c r="B20" s="357"/>
      <c r="C20" s="248">
        <f>C16+C12</f>
        <v>0</v>
      </c>
    </row>
    <row r="21" spans="1:3" ht="13.5" customHeight="1">
      <c r="A21" s="356" t="s">
        <v>304</v>
      </c>
      <c r="B21" s="357"/>
      <c r="C21" s="248">
        <f>C20</f>
        <v>0</v>
      </c>
    </row>
  </sheetData>
  <sheetProtection/>
  <mergeCells count="8">
    <mergeCell ref="A20:B20"/>
    <mergeCell ref="A21:B21"/>
    <mergeCell ref="B4:C4"/>
    <mergeCell ref="A5:C5"/>
    <mergeCell ref="A6:C6"/>
    <mergeCell ref="A7:C7"/>
    <mergeCell ref="A8:C8"/>
    <mergeCell ref="A10:B10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Шманцарь</dc:creator>
  <cp:keywords/>
  <dc:description/>
  <cp:lastModifiedBy>user</cp:lastModifiedBy>
  <cp:lastPrinted>2021-08-26T12:03:40Z</cp:lastPrinted>
  <dcterms:created xsi:type="dcterms:W3CDTF">1999-12-27T10:35:15Z</dcterms:created>
  <dcterms:modified xsi:type="dcterms:W3CDTF">2021-09-02T12:47:35Z</dcterms:modified>
  <cp:category/>
  <cp:version/>
  <cp:contentType/>
  <cp:contentStatus/>
</cp:coreProperties>
</file>