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20" yWindow="-360" windowWidth="11208" windowHeight="10920" tabRatio="865" firstSheet="2" activeTab="3"/>
  </bookViews>
  <sheets>
    <sheet name="1Р." sheetId="59" state="hidden" r:id="rId1"/>
    <sheet name="доходы 2016" sheetId="75" state="hidden" r:id="rId2"/>
    <sheet name="прилож 1 доходы 2020" sheetId="125" r:id="rId3"/>
    <sheet name="Приложение 2 расх 2020" sheetId="135" r:id="rId4"/>
    <sheet name="прил 3 функ 2020" sheetId="130" r:id="rId5"/>
    <sheet name="прил 4 вед 2020" sheetId="134" r:id="rId6"/>
    <sheet name="Прилож 5 источники" sheetId="121" r:id="rId7"/>
  </sheets>
  <externalReferences>
    <externalReference r:id="rId8"/>
    <externalReference r:id="rId9"/>
    <externalReference r:id="rId10"/>
  </externalReferences>
  <definedNames>
    <definedName name="_xlnm.Print_Titles" localSheetId="1">'доходы 2016'!$8:$8</definedName>
    <definedName name="_xlnm.Print_Titles" localSheetId="2">'прилож 1 доходы 2020'!#REF!</definedName>
    <definedName name="_xlnm.Print_Area" localSheetId="0">'1Р.'!$A$1:$H$65</definedName>
    <definedName name="_xlnm.Print_Area" localSheetId="4">'прил 3 функ 2020'!$A$60:$G$96</definedName>
  </definedNames>
  <calcPr calcId="124519"/>
</workbook>
</file>

<file path=xl/calcChain.xml><?xml version="1.0" encoding="utf-8"?>
<calcChain xmlns="http://schemas.openxmlformats.org/spreadsheetml/2006/main">
  <c r="C37" i="135"/>
  <c r="D33"/>
  <c r="C33"/>
  <c r="D30"/>
  <c r="D27"/>
  <c r="D37" s="1"/>
  <c r="D24"/>
  <c r="E10" l="1"/>
  <c r="E11"/>
  <c r="E13"/>
  <c r="E15"/>
  <c r="E20"/>
  <c r="E23"/>
  <c r="E26"/>
  <c r="E28"/>
  <c r="E29"/>
  <c r="E34"/>
  <c r="C36"/>
  <c r="C35" s="1"/>
  <c r="E35" s="1"/>
  <c r="E33"/>
  <c r="C32"/>
  <c r="E32" s="1"/>
  <c r="C31"/>
  <c r="C30" s="1"/>
  <c r="E30" s="1"/>
  <c r="C27"/>
  <c r="E27" s="1"/>
  <c r="C25"/>
  <c r="C24" s="1"/>
  <c r="E24" s="1"/>
  <c r="C22"/>
  <c r="E22" s="1"/>
  <c r="C21"/>
  <c r="C19"/>
  <c r="C18"/>
  <c r="E18" s="1"/>
  <c r="C17"/>
  <c r="C16" s="1"/>
  <c r="E16" s="1"/>
  <c r="C14"/>
  <c r="E14" s="1"/>
  <c r="C12"/>
  <c r="E12" s="1"/>
  <c r="G38" i="130"/>
  <c r="G37"/>
  <c r="G127" i="134"/>
  <c r="G126"/>
  <c r="G73"/>
  <c r="E31" i="135" l="1"/>
  <c r="E25"/>
  <c r="E17"/>
  <c r="E36"/>
  <c r="C9"/>
  <c r="E9" i="130"/>
  <c r="G223" i="134"/>
  <c r="G222"/>
  <c r="G220"/>
  <c r="G219"/>
  <c r="G218" s="1"/>
  <c r="G217" s="1"/>
  <c r="G215"/>
  <c r="G213"/>
  <c r="G210"/>
  <c r="G209"/>
  <c r="G205"/>
  <c r="G204"/>
  <c r="G203" s="1"/>
  <c r="G201"/>
  <c r="G200"/>
  <c r="G198"/>
  <c r="G197"/>
  <c r="G195"/>
  <c r="G192"/>
  <c r="G190"/>
  <c r="G189"/>
  <c r="G187"/>
  <c r="G186"/>
  <c r="G183"/>
  <c r="G182"/>
  <c r="G181" s="1"/>
  <c r="G175"/>
  <c r="G174"/>
  <c r="G178"/>
  <c r="G177"/>
  <c r="G171"/>
  <c r="G170"/>
  <c r="G169"/>
  <c r="G165"/>
  <c r="G164"/>
  <c r="G162"/>
  <c r="G161"/>
  <c r="G159"/>
  <c r="G158"/>
  <c r="G157" s="1"/>
  <c r="G155"/>
  <c r="G154"/>
  <c r="G152"/>
  <c r="G151"/>
  <c r="G149"/>
  <c r="G148"/>
  <c r="G147" s="1"/>
  <c r="G145"/>
  <c r="G144"/>
  <c r="G142"/>
  <c r="G141" s="1"/>
  <c r="G139"/>
  <c r="G138" s="1"/>
  <c r="G135"/>
  <c r="G134"/>
  <c r="G132"/>
  <c r="G131"/>
  <c r="G129"/>
  <c r="G128"/>
  <c r="G115"/>
  <c r="G114" s="1"/>
  <c r="G112"/>
  <c r="G111" s="1"/>
  <c r="G123"/>
  <c r="G122" s="1"/>
  <c r="G121" s="1"/>
  <c r="G117"/>
  <c r="G118"/>
  <c r="G119"/>
  <c r="G107"/>
  <c r="G106"/>
  <c r="G104"/>
  <c r="G103"/>
  <c r="G102" s="1"/>
  <c r="G101" s="1"/>
  <c r="G99"/>
  <c r="G98" s="1"/>
  <c r="G96"/>
  <c r="G95"/>
  <c r="G93"/>
  <c r="G92"/>
  <c r="G90"/>
  <c r="G89"/>
  <c r="G86"/>
  <c r="G84"/>
  <c r="G83"/>
  <c r="G81"/>
  <c r="G80"/>
  <c r="G78"/>
  <c r="G77"/>
  <c r="G75"/>
  <c r="G74"/>
  <c r="G71"/>
  <c r="G70" s="1"/>
  <c r="G68"/>
  <c r="G67"/>
  <c r="G66" s="1"/>
  <c r="G64"/>
  <c r="G62"/>
  <c r="G58"/>
  <c r="G57" s="1"/>
  <c r="G55"/>
  <c r="G54" s="1"/>
  <c r="G50"/>
  <c r="G48"/>
  <c r="G47" s="1"/>
  <c r="G45"/>
  <c r="F45"/>
  <c r="G44"/>
  <c r="G33"/>
  <c r="G32" s="1"/>
  <c r="G29"/>
  <c r="G28"/>
  <c r="G27" s="1"/>
  <c r="G25"/>
  <c r="G24" s="1"/>
  <c r="G20"/>
  <c r="G18"/>
  <c r="G17"/>
  <c r="G13"/>
  <c r="G12" s="1"/>
  <c r="G11" s="1"/>
  <c r="H11" s="1"/>
  <c r="H14"/>
  <c r="H21"/>
  <c r="H26"/>
  <c r="H30"/>
  <c r="H37"/>
  <c r="H38"/>
  <c r="H39"/>
  <c r="H46"/>
  <c r="H51"/>
  <c r="H52"/>
  <c r="H53"/>
  <c r="H56"/>
  <c r="H59"/>
  <c r="H63"/>
  <c r="H65"/>
  <c r="H69"/>
  <c r="H72"/>
  <c r="H76"/>
  <c r="H79"/>
  <c r="H82"/>
  <c r="H85"/>
  <c r="H91"/>
  <c r="H94"/>
  <c r="H97"/>
  <c r="H100"/>
  <c r="H108"/>
  <c r="H120"/>
  <c r="H130"/>
  <c r="H133"/>
  <c r="H136"/>
  <c r="H140"/>
  <c r="H153"/>
  <c r="H156"/>
  <c r="H160"/>
  <c r="H163"/>
  <c r="H166"/>
  <c r="H167"/>
  <c r="H172"/>
  <c r="H176"/>
  <c r="H179"/>
  <c r="H184"/>
  <c r="H188"/>
  <c r="H194"/>
  <c r="H202"/>
  <c r="H206"/>
  <c r="H221"/>
  <c r="F223"/>
  <c r="F222"/>
  <c r="F220"/>
  <c r="H220" s="1"/>
  <c r="F219"/>
  <c r="F215"/>
  <c r="H215" s="1"/>
  <c r="H214"/>
  <c r="F210"/>
  <c r="F205"/>
  <c r="H205" s="1"/>
  <c r="F204"/>
  <c r="F203" s="1"/>
  <c r="F201"/>
  <c r="H201" s="1"/>
  <c r="F200"/>
  <c r="F197" s="1"/>
  <c r="H197" s="1"/>
  <c r="F198"/>
  <c r="F195"/>
  <c r="H195" s="1"/>
  <c r="F192"/>
  <c r="H192" s="1"/>
  <c r="H191"/>
  <c r="F187"/>
  <c r="H187" s="1"/>
  <c r="F186"/>
  <c r="H186" s="1"/>
  <c r="F183"/>
  <c r="H183" s="1"/>
  <c r="F182"/>
  <c r="F181" s="1"/>
  <c r="F178"/>
  <c r="H178" s="1"/>
  <c r="F177"/>
  <c r="H177" s="1"/>
  <c r="F175"/>
  <c r="H175" s="1"/>
  <c r="F174"/>
  <c r="F173" s="1"/>
  <c r="F171"/>
  <c r="H171" s="1"/>
  <c r="F165"/>
  <c r="H165" s="1"/>
  <c r="F164"/>
  <c r="F162"/>
  <c r="H162" s="1"/>
  <c r="F161"/>
  <c r="F159"/>
  <c r="H159" s="1"/>
  <c r="F158"/>
  <c r="F155"/>
  <c r="H155" s="1"/>
  <c r="F154"/>
  <c r="F152"/>
  <c r="H152" s="1"/>
  <c r="F151"/>
  <c r="F149"/>
  <c r="F148"/>
  <c r="F146"/>
  <c r="F145" s="1"/>
  <c r="F144" s="1"/>
  <c r="H144" s="1"/>
  <c r="F142"/>
  <c r="F141" s="1"/>
  <c r="F139"/>
  <c r="H139" s="1"/>
  <c r="F135"/>
  <c r="F134" s="1"/>
  <c r="H134" s="1"/>
  <c r="F132"/>
  <c r="H132" s="1"/>
  <c r="F131"/>
  <c r="H131" s="1"/>
  <c r="F129"/>
  <c r="F128" s="1"/>
  <c r="F123"/>
  <c r="F122" s="1"/>
  <c r="F121" s="1"/>
  <c r="F119"/>
  <c r="H119" s="1"/>
  <c r="F118"/>
  <c r="F117" s="1"/>
  <c r="H117" s="1"/>
  <c r="F115"/>
  <c r="F114" s="1"/>
  <c r="F112"/>
  <c r="F111" s="1"/>
  <c r="F107"/>
  <c r="H107" s="1"/>
  <c r="F104"/>
  <c r="F103" s="1"/>
  <c r="F99"/>
  <c r="F98" s="1"/>
  <c r="F96"/>
  <c r="H96" s="1"/>
  <c r="F95"/>
  <c r="H95" s="1"/>
  <c r="F93"/>
  <c r="H93" s="1"/>
  <c r="F92"/>
  <c r="H92" s="1"/>
  <c r="F90"/>
  <c r="H90" s="1"/>
  <c r="F89"/>
  <c r="H89" s="1"/>
  <c r="F87"/>
  <c r="F86" s="1"/>
  <c r="F84"/>
  <c r="H84" s="1"/>
  <c r="F83"/>
  <c r="H83" s="1"/>
  <c r="F81"/>
  <c r="H81" s="1"/>
  <c r="F80"/>
  <c r="H80" s="1"/>
  <c r="F78"/>
  <c r="H78" s="1"/>
  <c r="F77"/>
  <c r="H77" s="1"/>
  <c r="F75"/>
  <c r="H75" s="1"/>
  <c r="F74"/>
  <c r="H74" s="1"/>
  <c r="F71"/>
  <c r="F70" s="1"/>
  <c r="F68"/>
  <c r="H68" s="1"/>
  <c r="F67"/>
  <c r="H67" s="1"/>
  <c r="F64"/>
  <c r="H64" s="1"/>
  <c r="F62"/>
  <c r="F58"/>
  <c r="F57" s="1"/>
  <c r="F55"/>
  <c r="F54" s="1"/>
  <c r="F50"/>
  <c r="H50" s="1"/>
  <c r="F49"/>
  <c r="F48" s="1"/>
  <c r="H48" s="1"/>
  <c r="F44"/>
  <c r="F33"/>
  <c r="F32" s="1"/>
  <c r="F31" s="1"/>
  <c r="F29"/>
  <c r="H29" s="1"/>
  <c r="F28"/>
  <c r="F27" s="1"/>
  <c r="F25"/>
  <c r="F24" s="1"/>
  <c r="F22"/>
  <c r="F20"/>
  <c r="H20" s="1"/>
  <c r="F19"/>
  <c r="F18" s="1"/>
  <c r="F13"/>
  <c r="F12" s="1"/>
  <c r="F11" s="1"/>
  <c r="E37" i="135" l="1"/>
  <c r="E9"/>
  <c r="H219" i="134"/>
  <c r="G212"/>
  <c r="G208" s="1"/>
  <c r="G207" s="1"/>
  <c r="H203"/>
  <c r="G196"/>
  <c r="H54"/>
  <c r="F66"/>
  <c r="F106"/>
  <c r="H106" s="1"/>
  <c r="F209"/>
  <c r="F213"/>
  <c r="H213" s="1"/>
  <c r="F170"/>
  <c r="F169" s="1"/>
  <c r="G43"/>
  <c r="G173"/>
  <c r="G168" s="1"/>
  <c r="G185"/>
  <c r="G180" s="1"/>
  <c r="H181"/>
  <c r="H173"/>
  <c r="H169"/>
  <c r="H164"/>
  <c r="H161"/>
  <c r="H158"/>
  <c r="H154"/>
  <c r="H151"/>
  <c r="G137"/>
  <c r="G125" s="1"/>
  <c r="H128"/>
  <c r="G110"/>
  <c r="G109" s="1"/>
  <c r="H98"/>
  <c r="F73"/>
  <c r="H216"/>
  <c r="H204"/>
  <c r="H200"/>
  <c r="H182"/>
  <c r="H174"/>
  <c r="H170"/>
  <c r="H146"/>
  <c r="H118"/>
  <c r="H49"/>
  <c r="H27"/>
  <c r="H62"/>
  <c r="H66"/>
  <c r="H70"/>
  <c r="F138"/>
  <c r="H138" s="1"/>
  <c r="F190"/>
  <c r="H190" s="1"/>
  <c r="F218"/>
  <c r="H193"/>
  <c r="H145"/>
  <c r="H135"/>
  <c r="H129"/>
  <c r="H99"/>
  <c r="H25"/>
  <c r="H19"/>
  <c r="H13"/>
  <c r="H18"/>
  <c r="H24"/>
  <c r="H44"/>
  <c r="H45"/>
  <c r="H57"/>
  <c r="G61"/>
  <c r="G60" s="1"/>
  <c r="H71"/>
  <c r="H58"/>
  <c r="F61"/>
  <c r="H55"/>
  <c r="G31"/>
  <c r="H28"/>
  <c r="G16"/>
  <c r="G15" s="1"/>
  <c r="H12"/>
  <c r="F147"/>
  <c r="H147" s="1"/>
  <c r="F196"/>
  <c r="F189"/>
  <c r="F17"/>
  <c r="F110"/>
  <c r="F127"/>
  <c r="H127" s="1"/>
  <c r="F157"/>
  <c r="H157" s="1"/>
  <c r="F168"/>
  <c r="H168" s="1"/>
  <c r="F212"/>
  <c r="F47"/>
  <c r="H73"/>
  <c r="F137"/>
  <c r="G42" l="1"/>
  <c r="H196"/>
  <c r="F102"/>
  <c r="F208"/>
  <c r="H212"/>
  <c r="F109"/>
  <c r="H109" s="1"/>
  <c r="F185"/>
  <c r="H189"/>
  <c r="F126"/>
  <c r="H137"/>
  <c r="F217"/>
  <c r="H217" s="1"/>
  <c r="H218"/>
  <c r="G41"/>
  <c r="G40" s="1"/>
  <c r="G225" s="1"/>
  <c r="F60"/>
  <c r="H60" s="1"/>
  <c r="H61"/>
  <c r="F43"/>
  <c r="H47"/>
  <c r="H17"/>
  <c r="F16"/>
  <c r="G10"/>
  <c r="G9" s="1"/>
  <c r="F101" l="1"/>
  <c r="H101" s="1"/>
  <c r="H102"/>
  <c r="F125"/>
  <c r="H125" s="1"/>
  <c r="H126"/>
  <c r="F180"/>
  <c r="H180" s="1"/>
  <c r="H185"/>
  <c r="F207"/>
  <c r="H207" s="1"/>
  <c r="H208"/>
  <c r="F42"/>
  <c r="H43"/>
  <c r="F15"/>
  <c r="F10" s="1"/>
  <c r="H16"/>
  <c r="H42" l="1"/>
  <c r="F41"/>
  <c r="H15"/>
  <c r="H41" l="1"/>
  <c r="F40"/>
  <c r="F225" s="1"/>
  <c r="F9"/>
  <c r="H10"/>
  <c r="H40" l="1"/>
  <c r="H9"/>
  <c r="H225"/>
  <c r="F131" i="130"/>
  <c r="G167"/>
  <c r="G166"/>
  <c r="G222"/>
  <c r="G220"/>
  <c r="F221"/>
  <c r="F218" s="1"/>
  <c r="F219"/>
  <c r="F199"/>
  <c r="F197"/>
  <c r="F195"/>
  <c r="G198"/>
  <c r="G196"/>
  <c r="F179"/>
  <c r="F180"/>
  <c r="G75"/>
  <c r="F73"/>
  <c r="F74"/>
  <c r="F36"/>
  <c r="F47"/>
  <c r="F40"/>
  <c r="F194" l="1"/>
  <c r="E197"/>
  <c r="E195"/>
  <c r="G195" s="1"/>
  <c r="E221"/>
  <c r="G221" s="1"/>
  <c r="E219"/>
  <c r="G219" s="1"/>
  <c r="E192"/>
  <c r="E36"/>
  <c r="G197" l="1"/>
  <c r="E51"/>
  <c r="G54"/>
  <c r="G52"/>
  <c r="E218"/>
  <c r="G218" s="1"/>
  <c r="E199"/>
  <c r="E74"/>
  <c r="E11"/>
  <c r="E10" s="1"/>
  <c r="E17"/>
  <c r="E19"/>
  <c r="E24"/>
  <c r="E23" s="1"/>
  <c r="E28"/>
  <c r="E29"/>
  <c r="E32"/>
  <c r="E34"/>
  <c r="E40"/>
  <c r="E39" s="1"/>
  <c r="E43"/>
  <c r="E42" s="1"/>
  <c r="E47"/>
  <c r="E49"/>
  <c r="E64"/>
  <c r="E65"/>
  <c r="E67"/>
  <c r="E68"/>
  <c r="E70"/>
  <c r="E76"/>
  <c r="E77"/>
  <c r="E80"/>
  <c r="E79" s="1"/>
  <c r="E82"/>
  <c r="E83"/>
  <c r="E85"/>
  <c r="E86"/>
  <c r="E88"/>
  <c r="E91"/>
  <c r="E94"/>
  <c r="E95"/>
  <c r="E100"/>
  <c r="E99" s="1"/>
  <c r="E103"/>
  <c r="E102" s="1"/>
  <c r="E108"/>
  <c r="E107" s="1"/>
  <c r="E111"/>
  <c r="E110" s="1"/>
  <c r="E114"/>
  <c r="E113" s="1"/>
  <c r="E115"/>
  <c r="E119"/>
  <c r="E118" s="1"/>
  <c r="E117" s="1"/>
  <c r="E125"/>
  <c r="E124" s="1"/>
  <c r="E128"/>
  <c r="E127" s="1"/>
  <c r="E131"/>
  <c r="E130" s="1"/>
  <c r="E135"/>
  <c r="E134" s="1"/>
  <c r="E138"/>
  <c r="E137" s="1"/>
  <c r="E140"/>
  <c r="E141"/>
  <c r="E146"/>
  <c r="E144" s="1"/>
  <c r="E149"/>
  <c r="E147" s="1"/>
  <c r="E151"/>
  <c r="E150" s="1"/>
  <c r="E153"/>
  <c r="E154"/>
  <c r="E157"/>
  <c r="E158"/>
  <c r="E160"/>
  <c r="E161"/>
  <c r="E164"/>
  <c r="E163" s="1"/>
  <c r="E169"/>
  <c r="E168" s="1"/>
  <c r="E173"/>
  <c r="E172" s="1"/>
  <c r="E177"/>
  <c r="E180"/>
  <c r="E179" s="1"/>
  <c r="E182"/>
  <c r="E183"/>
  <c r="E187"/>
  <c r="E186" s="1"/>
  <c r="E188"/>
  <c r="E191"/>
  <c r="E204"/>
  <c r="E203" s="1"/>
  <c r="E206"/>
  <c r="E207"/>
  <c r="E210"/>
  <c r="E209" s="1"/>
  <c r="E211"/>
  <c r="E215"/>
  <c r="E214" s="1"/>
  <c r="E216"/>
  <c r="E225"/>
  <c r="E224" s="1"/>
  <c r="E223" s="1"/>
  <c r="E226"/>
  <c r="N38" i="125"/>
  <c r="N8"/>
  <c r="N42"/>
  <c r="O46"/>
  <c r="N10"/>
  <c r="N9" s="1"/>
  <c r="O45"/>
  <c r="L28"/>
  <c r="M28" s="1"/>
  <c r="F28"/>
  <c r="G28" s="1"/>
  <c r="D28"/>
  <c r="E10"/>
  <c r="E9" s="1"/>
  <c r="O17"/>
  <c r="L17"/>
  <c r="M17" s="1"/>
  <c r="J17"/>
  <c r="I17"/>
  <c r="H17"/>
  <c r="F17"/>
  <c r="G17" s="1"/>
  <c r="E200" i="130" l="1"/>
  <c r="G200" s="1"/>
  <c r="G199"/>
  <c r="E194"/>
  <c r="G194" s="1"/>
  <c r="E73"/>
  <c r="G73" s="1"/>
  <c r="G74"/>
  <c r="E123"/>
  <c r="E98"/>
  <c r="E97" s="1"/>
  <c r="E133"/>
  <c r="E190"/>
  <c r="E185" s="1"/>
  <c r="E156"/>
  <c r="E213"/>
  <c r="E60"/>
  <c r="E202"/>
  <c r="E201" s="1"/>
  <c r="E143"/>
  <c r="E106"/>
  <c r="E176"/>
  <c r="E171" s="1"/>
  <c r="E16"/>
  <c r="E14" s="1"/>
  <c r="E145"/>
  <c r="E46"/>
  <c r="E45" s="1"/>
  <c r="E31"/>
  <c r="E105"/>
  <c r="E15"/>
  <c r="E174"/>
  <c r="E148"/>
  <c r="E89"/>
  <c r="E63" l="1"/>
  <c r="E27"/>
  <c r="E26"/>
  <c r="E122"/>
  <c r="E121" s="1"/>
  <c r="E61" l="1"/>
  <c r="E62"/>
  <c r="G93" l="1"/>
  <c r="G92"/>
  <c r="F91"/>
  <c r="G91" s="1"/>
  <c r="G72"/>
  <c r="G71"/>
  <c r="F70"/>
  <c r="G70" s="1"/>
  <c r="G181"/>
  <c r="G178"/>
  <c r="G180"/>
  <c r="G170"/>
  <c r="F169"/>
  <c r="G152"/>
  <c r="F151"/>
  <c r="G132"/>
  <c r="F51"/>
  <c r="G55"/>
  <c r="G53"/>
  <c r="F34"/>
  <c r="F29"/>
  <c r="F17"/>
  <c r="F19"/>
  <c r="G151" l="1"/>
  <c r="G169"/>
  <c r="G179"/>
  <c r="F150"/>
  <c r="G131"/>
  <c r="F168"/>
  <c r="G168" s="1"/>
  <c r="F130"/>
  <c r="G130" s="1"/>
  <c r="G51"/>
  <c r="H44" i="125"/>
  <c r="I44"/>
  <c r="J44"/>
  <c r="K44"/>
  <c r="L44"/>
  <c r="M44" s="1"/>
  <c r="O44"/>
  <c r="N49"/>
  <c r="F80" i="130"/>
  <c r="G81"/>
  <c r="F108"/>
  <c r="F100"/>
  <c r="G150" l="1"/>
  <c r="F79"/>
  <c r="G41"/>
  <c r="G129"/>
  <c r="F128"/>
  <c r="F127" s="1"/>
  <c r="F107"/>
  <c r="G100"/>
  <c r="F99"/>
  <c r="G99" s="1"/>
  <c r="G101"/>
  <c r="F21"/>
  <c r="G79" l="1"/>
  <c r="G80"/>
  <c r="G128"/>
  <c r="G127"/>
  <c r="G40"/>
  <c r="F39"/>
  <c r="G39" s="1"/>
  <c r="F61" l="1"/>
  <c r="F62"/>
  <c r="F204"/>
  <c r="G204" l="1"/>
  <c r="F203"/>
  <c r="G203" s="1"/>
  <c r="G205"/>
  <c r="N31" i="125" l="1"/>
  <c r="N30" s="1"/>
  <c r="O34"/>
  <c r="F225" i="130" l="1"/>
  <c r="F224" s="1"/>
  <c r="F210"/>
  <c r="F209" s="1"/>
  <c r="F206"/>
  <c r="F202" s="1"/>
  <c r="F191"/>
  <c r="F190" s="1"/>
  <c r="F187"/>
  <c r="F183"/>
  <c r="F174"/>
  <c r="F161"/>
  <c r="F158"/>
  <c r="F153"/>
  <c r="F143" s="1"/>
  <c r="F141"/>
  <c r="F125"/>
  <c r="F119"/>
  <c r="F111"/>
  <c r="F103"/>
  <c r="F94"/>
  <c r="F85"/>
  <c r="F82"/>
  <c r="F76"/>
  <c r="F68"/>
  <c r="F64"/>
  <c r="F24"/>
  <c r="F163"/>
  <c r="F140"/>
  <c r="F83"/>
  <c r="F77"/>
  <c r="F65"/>
  <c r="F67"/>
  <c r="F49"/>
  <c r="F32"/>
  <c r="F188" l="1"/>
  <c r="F211"/>
  <c r="F86"/>
  <c r="F207"/>
  <c r="F226"/>
  <c r="G25"/>
  <c r="G48"/>
  <c r="G50"/>
  <c r="G104"/>
  <c r="F43"/>
  <c r="F42" s="1"/>
  <c r="F95"/>
  <c r="F154"/>
  <c r="F215"/>
  <c r="F214" s="1"/>
  <c r="F213" s="1"/>
  <c r="G213" s="1"/>
  <c r="F46"/>
  <c r="G212"/>
  <c r="G112"/>
  <c r="F23"/>
  <c r="F102"/>
  <c r="F98" s="1"/>
  <c r="F118"/>
  <c r="F137"/>
  <c r="F201"/>
  <c r="F223"/>
  <c r="F16"/>
  <c r="F135"/>
  <c r="G136"/>
  <c r="F157"/>
  <c r="F164"/>
  <c r="G66"/>
  <c r="G78"/>
  <c r="G84"/>
  <c r="G227"/>
  <c r="F110"/>
  <c r="F106" s="1"/>
  <c r="F124"/>
  <c r="F123" s="1"/>
  <c r="F186"/>
  <c r="F185" s="1"/>
  <c r="F160"/>
  <c r="F173"/>
  <c r="G175"/>
  <c r="F182"/>
  <c r="F176" s="1"/>
  <c r="G184"/>
  <c r="F192"/>
  <c r="G193"/>
  <c r="G189"/>
  <c r="F28"/>
  <c r="F31"/>
  <c r="F156" l="1"/>
  <c r="F27"/>
  <c r="F115"/>
  <c r="F114"/>
  <c r="F113" s="1"/>
  <c r="F97"/>
  <c r="F14"/>
  <c r="F45"/>
  <c r="F26" s="1"/>
  <c r="F134"/>
  <c r="F133" s="1"/>
  <c r="F117"/>
  <c r="F172"/>
  <c r="F171" s="1"/>
  <c r="F11"/>
  <c r="F122" l="1"/>
  <c r="F121" s="1"/>
  <c r="F105"/>
  <c r="F10"/>
  <c r="O11" i="125"/>
  <c r="O16"/>
  <c r="O22"/>
  <c r="O24"/>
  <c r="O33"/>
  <c r="O50"/>
  <c r="O51"/>
  <c r="O54"/>
  <c r="F53" l="1"/>
  <c r="G53"/>
  <c r="F52"/>
  <c r="G52"/>
  <c r="F49"/>
  <c r="G49"/>
  <c r="H49"/>
  <c r="I49"/>
  <c r="J49"/>
  <c r="K49"/>
  <c r="L49"/>
  <c r="M49"/>
  <c r="F48"/>
  <c r="F47" s="1"/>
  <c r="G48"/>
  <c r="G47" s="1"/>
  <c r="H48"/>
  <c r="I48"/>
  <c r="J48"/>
  <c r="K48"/>
  <c r="L48"/>
  <c r="M48"/>
  <c r="N48"/>
  <c r="F43"/>
  <c r="G43"/>
  <c r="N43"/>
  <c r="F42"/>
  <c r="G42"/>
  <c r="H27"/>
  <c r="H26" s="1"/>
  <c r="H25" s="1"/>
  <c r="I27"/>
  <c r="I26" s="1"/>
  <c r="I25" s="1"/>
  <c r="J27"/>
  <c r="J26" s="1"/>
  <c r="J25" s="1"/>
  <c r="K27"/>
  <c r="K26" s="1"/>
  <c r="K25" s="1"/>
  <c r="N25"/>
  <c r="K21"/>
  <c r="N21"/>
  <c r="K20"/>
  <c r="K19" s="1"/>
  <c r="K15"/>
  <c r="K13"/>
  <c r="D18"/>
  <c r="O32" l="1"/>
  <c r="N47"/>
  <c r="N41" s="1"/>
  <c r="G41"/>
  <c r="G40" s="1"/>
  <c r="F41"/>
  <c r="F40" s="1"/>
  <c r="N40" l="1"/>
  <c r="N18" l="1"/>
  <c r="H54"/>
  <c r="I54"/>
  <c r="J54"/>
  <c r="K54"/>
  <c r="L54"/>
  <c r="H13"/>
  <c r="I13"/>
  <c r="J13"/>
  <c r="O53" l="1"/>
  <c r="O52"/>
  <c r="O10"/>
  <c r="K53"/>
  <c r="K52"/>
  <c r="K47" s="1"/>
  <c r="I53"/>
  <c r="I52"/>
  <c r="I47" s="1"/>
  <c r="M54"/>
  <c r="L52"/>
  <c r="L47" s="1"/>
  <c r="L53"/>
  <c r="J52"/>
  <c r="J47" s="1"/>
  <c r="J53"/>
  <c r="H52"/>
  <c r="H47" s="1"/>
  <c r="H53"/>
  <c r="N55"/>
  <c r="D11" i="121" s="1"/>
  <c r="M13" i="125"/>
  <c r="L13"/>
  <c r="G13"/>
  <c r="F13"/>
  <c r="G159" i="130"/>
  <c r="G126"/>
  <c r="G35" l="1"/>
  <c r="M53" i="125"/>
  <c r="M52"/>
  <c r="M47" s="1"/>
  <c r="G165" i="130" l="1"/>
  <c r="G162"/>
  <c r="G155"/>
  <c r="G142"/>
  <c r="G87"/>
  <c r="G69"/>
  <c r="G33"/>
  <c r="G18"/>
  <c r="G30" l="1"/>
  <c r="G63"/>
  <c r="G13"/>
  <c r="G20"/>
  <c r="G208"/>
  <c r="G96"/>
  <c r="G116" l="1"/>
  <c r="G226" l="1"/>
  <c r="G211"/>
  <c r="G207"/>
  <c r="G192"/>
  <c r="G191"/>
  <c r="G190"/>
  <c r="G188"/>
  <c r="G183"/>
  <c r="G177"/>
  <c r="G174"/>
  <c r="G164"/>
  <c r="G163"/>
  <c r="G161"/>
  <c r="G160"/>
  <c r="G158"/>
  <c r="G154"/>
  <c r="G141"/>
  <c r="G140"/>
  <c r="G115"/>
  <c r="G95"/>
  <c r="G86"/>
  <c r="G83"/>
  <c r="G82"/>
  <c r="G77"/>
  <c r="G76"/>
  <c r="G68"/>
  <c r="G67"/>
  <c r="G65"/>
  <c r="G64"/>
  <c r="G62"/>
  <c r="G49"/>
  <c r="G36"/>
  <c r="G34"/>
  <c r="G32"/>
  <c r="G29"/>
  <c r="G19"/>
  <c r="G182" l="1"/>
  <c r="G47"/>
  <c r="G61"/>
  <c r="G28"/>
  <c r="G17"/>
  <c r="G157"/>
  <c r="G210"/>
  <c r="G103"/>
  <c r="G113"/>
  <c r="G114"/>
  <c r="G125"/>
  <c r="G186"/>
  <c r="G187"/>
  <c r="G12"/>
  <c r="G23"/>
  <c r="G24"/>
  <c r="G111"/>
  <c r="G135"/>
  <c r="G172"/>
  <c r="G173"/>
  <c r="G202"/>
  <c r="G206"/>
  <c r="G224"/>
  <c r="G225"/>
  <c r="G223"/>
  <c r="G94"/>
  <c r="G16"/>
  <c r="G134" l="1"/>
  <c r="G133"/>
  <c r="G102"/>
  <c r="G97"/>
  <c r="G15"/>
  <c r="G185"/>
  <c r="G14"/>
  <c r="G156"/>
  <c r="G85"/>
  <c r="G45"/>
  <c r="G46"/>
  <c r="G171"/>
  <c r="G176"/>
  <c r="G110"/>
  <c r="G10"/>
  <c r="G11"/>
  <c r="G124"/>
  <c r="G143"/>
  <c r="G153"/>
  <c r="G27"/>
  <c r="G31"/>
  <c r="G26" l="1"/>
  <c r="G98"/>
  <c r="G105"/>
  <c r="O49" i="125"/>
  <c r="O48"/>
  <c r="D48"/>
  <c r="D44" s="1"/>
  <c r="D42"/>
  <c r="D29"/>
  <c r="D27" s="1"/>
  <c r="D26" s="1"/>
  <c r="L33"/>
  <c r="K33"/>
  <c r="K32" s="1"/>
  <c r="K31" s="1"/>
  <c r="K30" s="1"/>
  <c r="J33"/>
  <c r="J32" s="1"/>
  <c r="J31" s="1"/>
  <c r="J30" s="1"/>
  <c r="I33"/>
  <c r="I32" s="1"/>
  <c r="I31" s="1"/>
  <c r="I30" s="1"/>
  <c r="H33"/>
  <c r="H32" s="1"/>
  <c r="H31" s="1"/>
  <c r="H30" s="1"/>
  <c r="F33"/>
  <c r="D33"/>
  <c r="L29"/>
  <c r="F29"/>
  <c r="L24"/>
  <c r="K24"/>
  <c r="K23" s="1"/>
  <c r="K18" s="1"/>
  <c r="J24"/>
  <c r="J23" s="1"/>
  <c r="I24"/>
  <c r="I23" s="1"/>
  <c r="H24"/>
  <c r="H23" s="1"/>
  <c r="F24"/>
  <c r="E23"/>
  <c r="O23" s="1"/>
  <c r="D23"/>
  <c r="D22" s="1"/>
  <c r="D21" s="1"/>
  <c r="L22"/>
  <c r="L21" s="1"/>
  <c r="L20" s="1"/>
  <c r="L19" s="1"/>
  <c r="J22"/>
  <c r="J21" s="1"/>
  <c r="J20" s="1"/>
  <c r="J19" s="1"/>
  <c r="I22"/>
  <c r="I21" s="1"/>
  <c r="I20" s="1"/>
  <c r="I19" s="1"/>
  <c r="H22"/>
  <c r="H21" s="1"/>
  <c r="H20" s="1"/>
  <c r="H19" s="1"/>
  <c r="F22"/>
  <c r="O21"/>
  <c r="L16"/>
  <c r="L15" s="1"/>
  <c r="J16"/>
  <c r="J15" s="1"/>
  <c r="I16"/>
  <c r="I15" s="1"/>
  <c r="H16"/>
  <c r="H15" s="1"/>
  <c r="F16"/>
  <c r="D15"/>
  <c r="L14"/>
  <c r="M14" s="1"/>
  <c r="K14"/>
  <c r="K10" s="1"/>
  <c r="K9" s="1"/>
  <c r="J14"/>
  <c r="I14"/>
  <c r="H14"/>
  <c r="F14"/>
  <c r="G14" s="1"/>
  <c r="O13"/>
  <c r="L11"/>
  <c r="J11"/>
  <c r="J10" s="1"/>
  <c r="J9" s="1"/>
  <c r="I11"/>
  <c r="I10" s="1"/>
  <c r="H11"/>
  <c r="H10" s="1"/>
  <c r="H9" s="1"/>
  <c r="F11"/>
  <c r="F10" s="1"/>
  <c r="D10"/>
  <c r="I9" l="1"/>
  <c r="O43"/>
  <c r="H18"/>
  <c r="J18"/>
  <c r="J8" s="1"/>
  <c r="K8"/>
  <c r="I18"/>
  <c r="H8"/>
  <c r="O15"/>
  <c r="G122" i="130"/>
  <c r="G121"/>
  <c r="G209"/>
  <c r="I43" i="125"/>
  <c r="I42"/>
  <c r="I41" s="1"/>
  <c r="I40" s="1"/>
  <c r="K43"/>
  <c r="K42"/>
  <c r="K41" s="1"/>
  <c r="K40" s="1"/>
  <c r="K55" s="1"/>
  <c r="H42"/>
  <c r="H41" s="1"/>
  <c r="H40" s="1"/>
  <c r="H43"/>
  <c r="J42"/>
  <c r="J41" s="1"/>
  <c r="J40" s="1"/>
  <c r="J43"/>
  <c r="L42"/>
  <c r="L41" s="1"/>
  <c r="L40" s="1"/>
  <c r="L43"/>
  <c r="M33"/>
  <c r="M32" s="1"/>
  <c r="M31" s="1"/>
  <c r="M30" s="1"/>
  <c r="L32"/>
  <c r="L31" s="1"/>
  <c r="L30" s="1"/>
  <c r="G33"/>
  <c r="G32" s="1"/>
  <c r="G31" s="1"/>
  <c r="G30" s="1"/>
  <c r="F32"/>
  <c r="F31" s="1"/>
  <c r="F30" s="1"/>
  <c r="M29"/>
  <c r="M27" s="1"/>
  <c r="M26" s="1"/>
  <c r="M25" s="1"/>
  <c r="L27"/>
  <c r="L26" s="1"/>
  <c r="L25" s="1"/>
  <c r="G29"/>
  <c r="G27" s="1"/>
  <c r="G26" s="1"/>
  <c r="G25" s="1"/>
  <c r="F27"/>
  <c r="F26" s="1"/>
  <c r="F25" s="1"/>
  <c r="G24"/>
  <c r="G23" s="1"/>
  <c r="F23"/>
  <c r="G22"/>
  <c r="G21" s="1"/>
  <c r="G20" s="1"/>
  <c r="G19" s="1"/>
  <c r="G18" s="1"/>
  <c r="F21"/>
  <c r="F20" s="1"/>
  <c r="F19" s="1"/>
  <c r="F18" s="1"/>
  <c r="M24"/>
  <c r="M23" s="1"/>
  <c r="L23"/>
  <c r="L18" s="1"/>
  <c r="M11"/>
  <c r="M10" s="1"/>
  <c r="L10"/>
  <c r="L9" s="1"/>
  <c r="G16"/>
  <c r="G15" s="1"/>
  <c r="F15"/>
  <c r="F9" s="1"/>
  <c r="E30"/>
  <c r="O30" s="1"/>
  <c r="O31"/>
  <c r="D32"/>
  <c r="D31" s="1"/>
  <c r="E47"/>
  <c r="G11"/>
  <c r="G10" s="1"/>
  <c r="M22"/>
  <c r="M21" s="1"/>
  <c r="M20" s="1"/>
  <c r="M19" s="1"/>
  <c r="M16"/>
  <c r="M15" s="1"/>
  <c r="O20"/>
  <c r="D9"/>
  <c r="D8" s="1"/>
  <c r="I8" l="1"/>
  <c r="I55" s="1"/>
  <c r="E41"/>
  <c r="O41" s="1"/>
  <c r="O42"/>
  <c r="M18"/>
  <c r="J55"/>
  <c r="H55"/>
  <c r="G9"/>
  <c r="G8" s="1"/>
  <c r="G55" s="1"/>
  <c r="G201" i="130"/>
  <c r="O47" i="125"/>
  <c r="M43"/>
  <c r="M42"/>
  <c r="M41" s="1"/>
  <c r="M40" s="1"/>
  <c r="D52"/>
  <c r="D54" s="1"/>
  <c r="L8"/>
  <c r="L55" s="1"/>
  <c r="F8"/>
  <c r="F55" s="1"/>
  <c r="M9"/>
  <c r="O9"/>
  <c r="M8" l="1"/>
  <c r="M55" s="1"/>
  <c r="E40"/>
  <c r="O40" s="1"/>
  <c r="D55"/>
  <c r="E18"/>
  <c r="O19"/>
  <c r="O18" l="1"/>
  <c r="E8"/>
  <c r="E55" s="1"/>
  <c r="O55" l="1"/>
  <c r="C11" i="121"/>
  <c r="O8" i="125"/>
  <c r="J58" i="75"/>
  <c r="E11" i="121" l="1"/>
  <c r="C13"/>
  <c r="C14" s="1"/>
  <c r="C10"/>
  <c r="J23" i="75"/>
  <c r="J46" l="1"/>
  <c r="J31"/>
  <c r="J14"/>
  <c r="J62" l="1"/>
  <c r="K42"/>
  <c r="L42" s="1"/>
  <c r="L41" s="1"/>
  <c r="L40" s="1"/>
  <c r="L39" s="1"/>
  <c r="J41"/>
  <c r="J40" s="1"/>
  <c r="I41"/>
  <c r="I40" s="1"/>
  <c r="I39" s="1"/>
  <c r="H41"/>
  <c r="G41"/>
  <c r="G40" s="1"/>
  <c r="G39" s="1"/>
  <c r="H40"/>
  <c r="H39" s="1"/>
  <c r="K41" l="1"/>
  <c r="K40" s="1"/>
  <c r="K39" s="1"/>
  <c r="O32"/>
  <c r="N32"/>
  <c r="M32"/>
  <c r="O23"/>
  <c r="N23"/>
  <c r="M23"/>
  <c r="O19"/>
  <c r="N19"/>
  <c r="M19"/>
  <c r="P14"/>
  <c r="O15"/>
  <c r="O14" s="1"/>
  <c r="N15"/>
  <c r="N14" s="1"/>
  <c r="M15"/>
  <c r="M14" s="1"/>
  <c r="O12"/>
  <c r="M12"/>
  <c r="N12"/>
  <c r="P18" l="1"/>
  <c r="O18"/>
  <c r="N18"/>
  <c r="M18"/>
  <c r="P31"/>
  <c r="P30" s="1"/>
  <c r="P29" s="1"/>
  <c r="O31"/>
  <c r="O30" s="1"/>
  <c r="O29" s="1"/>
  <c r="N31"/>
  <c r="N30" s="1"/>
  <c r="N29" s="1"/>
  <c r="M31"/>
  <c r="M30" s="1"/>
  <c r="M29" s="1"/>
  <c r="P22"/>
  <c r="O22"/>
  <c r="N22"/>
  <c r="M22"/>
  <c r="P21"/>
  <c r="O21"/>
  <c r="N21"/>
  <c r="M21"/>
  <c r="P64"/>
  <c r="O64"/>
  <c r="N64"/>
  <c r="M64"/>
  <c r="P63"/>
  <c r="P62" s="1"/>
  <c r="O63"/>
  <c r="O62" s="1"/>
  <c r="N63"/>
  <c r="N62" s="1"/>
  <c r="M63"/>
  <c r="P60"/>
  <c r="O60"/>
  <c r="N60"/>
  <c r="M60"/>
  <c r="P59"/>
  <c r="O59"/>
  <c r="N59"/>
  <c r="M59"/>
  <c r="P58"/>
  <c r="P57" s="1"/>
  <c r="O58"/>
  <c r="O57" s="1"/>
  <c r="N58"/>
  <c r="N57" s="1"/>
  <c r="M58"/>
  <c r="M57" s="1"/>
  <c r="P52"/>
  <c r="P51" s="1"/>
  <c r="O52"/>
  <c r="O51" s="1"/>
  <c r="N52"/>
  <c r="N51" s="1"/>
  <c r="M52"/>
  <c r="M51" s="1"/>
  <c r="P46"/>
  <c r="P45" s="1"/>
  <c r="P44" s="1"/>
  <c r="P43" s="1"/>
  <c r="O46"/>
  <c r="O45" s="1"/>
  <c r="O44" s="1"/>
  <c r="O43" s="1"/>
  <c r="N46"/>
  <c r="N45" s="1"/>
  <c r="N44" s="1"/>
  <c r="N43" s="1"/>
  <c r="M46"/>
  <c r="M45" s="1"/>
  <c r="M44" s="1"/>
  <c r="M43" s="1"/>
  <c r="P34"/>
  <c r="P33" s="1"/>
  <c r="O34"/>
  <c r="O33" s="1"/>
  <c r="N34"/>
  <c r="N33" s="1"/>
  <c r="M34"/>
  <c r="M33" s="1"/>
  <c r="P17"/>
  <c r="P11" s="1"/>
  <c r="P10" s="1"/>
  <c r="O17"/>
  <c r="O11" s="1"/>
  <c r="O10" s="1"/>
  <c r="N17"/>
  <c r="M17"/>
  <c r="M11" s="1"/>
  <c r="M10" s="1"/>
  <c r="N11"/>
  <c r="N10" s="1"/>
  <c r="M62" l="1"/>
  <c r="O24"/>
  <c r="N24"/>
  <c r="N9" s="1"/>
  <c r="N61"/>
  <c r="N56" s="1"/>
  <c r="P61"/>
  <c r="P56" s="1"/>
  <c r="M61"/>
  <c r="M56" s="1"/>
  <c r="O61"/>
  <c r="O56" s="1"/>
  <c r="N50"/>
  <c r="P50"/>
  <c r="M50"/>
  <c r="O50"/>
  <c r="P24"/>
  <c r="O9"/>
  <c r="M24"/>
  <c r="P9"/>
  <c r="M9"/>
  <c r="M49" l="1"/>
  <c r="M48" s="1"/>
  <c r="N49"/>
  <c r="N48" s="1"/>
  <c r="N65" s="1"/>
  <c r="M65"/>
  <c r="O49"/>
  <c r="O48" s="1"/>
  <c r="O65" s="1"/>
  <c r="P49"/>
  <c r="P48" s="1"/>
  <c r="P65" s="1"/>
  <c r="L66" l="1"/>
  <c r="K66"/>
  <c r="I66"/>
  <c r="H66"/>
  <c r="G66"/>
  <c r="I63"/>
  <c r="I62" s="1"/>
  <c r="L62"/>
  <c r="K62"/>
  <c r="H62"/>
  <c r="G62"/>
  <c r="F62"/>
  <c r="E62"/>
  <c r="L61"/>
  <c r="K61"/>
  <c r="J61"/>
  <c r="H61"/>
  <c r="G61"/>
  <c r="L58"/>
  <c r="L57" s="1"/>
  <c r="L56" s="1"/>
  <c r="K58"/>
  <c r="I58"/>
  <c r="H58"/>
  <c r="G58"/>
  <c r="G57" s="1"/>
  <c r="G56" s="1"/>
  <c r="K57"/>
  <c r="K56" s="1"/>
  <c r="J57"/>
  <c r="H57"/>
  <c r="I57" s="1"/>
  <c r="F57"/>
  <c r="E57"/>
  <c r="D57"/>
  <c r="L54"/>
  <c r="L53" s="1"/>
  <c r="K54"/>
  <c r="K53" s="1"/>
  <c r="J54"/>
  <c r="I54"/>
  <c r="I53" s="1"/>
  <c r="H54"/>
  <c r="H53" s="1"/>
  <c r="G54"/>
  <c r="G53" s="1"/>
  <c r="F54"/>
  <c r="E54"/>
  <c r="E53" s="1"/>
  <c r="D54"/>
  <c r="D53" s="1"/>
  <c r="D52" s="1"/>
  <c r="J53"/>
  <c r="F53"/>
  <c r="F52" s="1"/>
  <c r="I52"/>
  <c r="L51"/>
  <c r="K51"/>
  <c r="J51"/>
  <c r="H51"/>
  <c r="I51" s="1"/>
  <c r="G51"/>
  <c r="L50"/>
  <c r="K50"/>
  <c r="J50"/>
  <c r="H50"/>
  <c r="I50" s="1"/>
  <c r="G50"/>
  <c r="F50"/>
  <c r="E50"/>
  <c r="D50"/>
  <c r="K47"/>
  <c r="F47"/>
  <c r="F42" s="1"/>
  <c r="F41" s="1"/>
  <c r="F40" s="1"/>
  <c r="E47"/>
  <c r="E42" s="1"/>
  <c r="E41" s="1"/>
  <c r="E40" s="1"/>
  <c r="D47"/>
  <c r="D42" s="1"/>
  <c r="D41" s="1"/>
  <c r="D40" s="1"/>
  <c r="K46"/>
  <c r="L46" s="1"/>
  <c r="F46"/>
  <c r="E46"/>
  <c r="D46"/>
  <c r="I45"/>
  <c r="I44" s="1"/>
  <c r="I43" s="1"/>
  <c r="H45"/>
  <c r="G45"/>
  <c r="G44" s="1"/>
  <c r="G43" s="1"/>
  <c r="H44"/>
  <c r="H43" s="1"/>
  <c r="I38"/>
  <c r="J38" s="1"/>
  <c r="K38" s="1"/>
  <c r="L38" s="1"/>
  <c r="F38"/>
  <c r="I37"/>
  <c r="J37" s="1"/>
  <c r="K37" s="1"/>
  <c r="L37" s="1"/>
  <c r="G37"/>
  <c r="G36" s="1"/>
  <c r="G35" s="1"/>
  <c r="F37"/>
  <c r="F36" s="1"/>
  <c r="F35" s="1"/>
  <c r="D37"/>
  <c r="D36" s="1"/>
  <c r="D35" s="1"/>
  <c r="I36"/>
  <c r="J36" s="1"/>
  <c r="K36" s="1"/>
  <c r="L36" s="1"/>
  <c r="E36"/>
  <c r="H35"/>
  <c r="I35" s="1"/>
  <c r="J35" s="1"/>
  <c r="K35" s="1"/>
  <c r="L35" s="1"/>
  <c r="E35"/>
  <c r="K34"/>
  <c r="I33"/>
  <c r="H33"/>
  <c r="G33"/>
  <c r="E33"/>
  <c r="D33"/>
  <c r="D32" s="1"/>
  <c r="D31" s="1"/>
  <c r="K32"/>
  <c r="L32" s="1"/>
  <c r="G32"/>
  <c r="G31" s="1"/>
  <c r="G30" s="1"/>
  <c r="G29" s="1"/>
  <c r="G24" s="1"/>
  <c r="F32"/>
  <c r="F31" s="1"/>
  <c r="E32"/>
  <c r="E31" s="1"/>
  <c r="K31"/>
  <c r="L31" s="1"/>
  <c r="I31"/>
  <c r="H31"/>
  <c r="H30" s="1"/>
  <c r="H29" s="1"/>
  <c r="H24" s="1"/>
  <c r="I30"/>
  <c r="I29" s="1"/>
  <c r="I24" s="1"/>
  <c r="F30"/>
  <c r="H28"/>
  <c r="I28" s="1"/>
  <c r="J28" s="1"/>
  <c r="K28" s="1"/>
  <c r="L28" s="1"/>
  <c r="M28" s="1"/>
  <c r="N28" s="1"/>
  <c r="O28" s="1"/>
  <c r="P28" s="1"/>
  <c r="F28"/>
  <c r="H27"/>
  <c r="I27" s="1"/>
  <c r="J27" s="1"/>
  <c r="K27" s="1"/>
  <c r="L27" s="1"/>
  <c r="M27" s="1"/>
  <c r="N27" s="1"/>
  <c r="O27" s="1"/>
  <c r="P27" s="1"/>
  <c r="F27"/>
  <c r="D27"/>
  <c r="F26"/>
  <c r="E26"/>
  <c r="D26"/>
  <c r="F25"/>
  <c r="F24" s="1"/>
  <c r="E25"/>
  <c r="D25"/>
  <c r="D24" s="1"/>
  <c r="E24"/>
  <c r="K23"/>
  <c r="L23" s="1"/>
  <c r="F23"/>
  <c r="J22"/>
  <c r="K22" s="1"/>
  <c r="I22"/>
  <c r="H22"/>
  <c r="G22"/>
  <c r="F22"/>
  <c r="D22"/>
  <c r="J21"/>
  <c r="I21"/>
  <c r="H21"/>
  <c r="G21"/>
  <c r="F21"/>
  <c r="E21"/>
  <c r="D21"/>
  <c r="I20"/>
  <c r="K20" s="1"/>
  <c r="L20" s="1"/>
  <c r="F20"/>
  <c r="I19"/>
  <c r="K19" s="1"/>
  <c r="L19" s="1"/>
  <c r="F19"/>
  <c r="H18"/>
  <c r="I18" s="1"/>
  <c r="G18"/>
  <c r="E18"/>
  <c r="F18" s="1"/>
  <c r="D18"/>
  <c r="I17"/>
  <c r="K17" s="1"/>
  <c r="L17" s="1"/>
  <c r="I16"/>
  <c r="J16" s="1"/>
  <c r="K16" s="1"/>
  <c r="L16" s="1"/>
  <c r="I15"/>
  <c r="K15" s="1"/>
  <c r="L15" s="1"/>
  <c r="F15"/>
  <c r="I14"/>
  <c r="H14"/>
  <c r="G14"/>
  <c r="I13"/>
  <c r="J13" s="1"/>
  <c r="J11" s="1"/>
  <c r="F13"/>
  <c r="K12"/>
  <c r="F12"/>
  <c r="H11"/>
  <c r="H10" s="1"/>
  <c r="G11"/>
  <c r="E11"/>
  <c r="D11"/>
  <c r="G10"/>
  <c r="G9" s="1"/>
  <c r="D10" l="1"/>
  <c r="F11"/>
  <c r="F10" s="1"/>
  <c r="E52"/>
  <c r="J56"/>
  <c r="J49" s="1"/>
  <c r="J48" s="1"/>
  <c r="I61"/>
  <c r="F45"/>
  <c r="F44" s="1"/>
  <c r="I49"/>
  <c r="I48" s="1"/>
  <c r="I56"/>
  <c r="E10"/>
  <c r="E9" s="1"/>
  <c r="D45"/>
  <c r="D44" s="1"/>
  <c r="E45"/>
  <c r="E44" s="1"/>
  <c r="G49"/>
  <c r="G48" s="1"/>
  <c r="G65" s="1"/>
  <c r="K49"/>
  <c r="K48" s="1"/>
  <c r="L49"/>
  <c r="L48" s="1"/>
  <c r="K21"/>
  <c r="L22"/>
  <c r="L21" s="1"/>
  <c r="L47"/>
  <c r="L45" s="1"/>
  <c r="L44" s="1"/>
  <c r="L43" s="1"/>
  <c r="K45"/>
  <c r="K44" s="1"/>
  <c r="K43" s="1"/>
  <c r="L12"/>
  <c r="K13"/>
  <c r="L13" s="1"/>
  <c r="L34"/>
  <c r="L33" s="1"/>
  <c r="K33"/>
  <c r="D9"/>
  <c r="F9"/>
  <c r="F61" s="1"/>
  <c r="H9"/>
  <c r="I11"/>
  <c r="I10" s="1"/>
  <c r="I9" s="1"/>
  <c r="I65" s="1"/>
  <c r="K14"/>
  <c r="L14" s="1"/>
  <c r="J18"/>
  <c r="K18" s="1"/>
  <c r="L18" s="1"/>
  <c r="H26"/>
  <c r="J30"/>
  <c r="J33"/>
  <c r="J45"/>
  <c r="J44" s="1"/>
  <c r="H56"/>
  <c r="H49" s="1"/>
  <c r="H48" s="1"/>
  <c r="J10" l="1"/>
  <c r="D61"/>
  <c r="D63" s="1"/>
  <c r="E61"/>
  <c r="E65" s="1"/>
  <c r="J43"/>
  <c r="J39"/>
  <c r="E63"/>
  <c r="G67"/>
  <c r="G69"/>
  <c r="L11"/>
  <c r="L10" s="1"/>
  <c r="H25"/>
  <c r="I25" s="1"/>
  <c r="J25" s="1"/>
  <c r="K25" s="1"/>
  <c r="L25" s="1"/>
  <c r="M25" s="1"/>
  <c r="N25" s="1"/>
  <c r="O25" s="1"/>
  <c r="P25" s="1"/>
  <c r="I26"/>
  <c r="J26" s="1"/>
  <c r="K26" s="1"/>
  <c r="L26" s="1"/>
  <c r="M26" s="1"/>
  <c r="N26" s="1"/>
  <c r="O26" s="1"/>
  <c r="P26" s="1"/>
  <c r="D65"/>
  <c r="K30"/>
  <c r="L30" s="1"/>
  <c r="J29"/>
  <c r="I69"/>
  <c r="I67"/>
  <c r="F65"/>
  <c r="F63"/>
  <c r="H65"/>
  <c r="K11"/>
  <c r="K10" s="1"/>
  <c r="K29" l="1"/>
  <c r="J24"/>
  <c r="J9" s="1"/>
  <c r="H69"/>
  <c r="H67"/>
  <c r="R40" l="1"/>
  <c r="L29"/>
  <c r="L24" s="1"/>
  <c r="L9" s="1"/>
  <c r="L65" s="1"/>
  <c r="K24"/>
  <c r="K9" s="1"/>
  <c r="K65" s="1"/>
  <c r="J65" l="1"/>
  <c r="L69"/>
  <c r="L67"/>
  <c r="K69"/>
  <c r="K67"/>
  <c r="J72" l="1"/>
  <c r="J73" s="1"/>
  <c r="J69"/>
  <c r="J66"/>
  <c r="J67" s="1"/>
  <c r="H55" i="59" l="1"/>
  <c r="B49"/>
  <c r="H49" s="1"/>
  <c r="G30"/>
  <c r="H21"/>
  <c r="E22"/>
  <c r="H22" s="1"/>
  <c r="D25"/>
  <c r="H23"/>
  <c r="H41"/>
  <c r="H42"/>
  <c r="H8"/>
  <c r="B9"/>
  <c r="H7"/>
  <c r="H6"/>
  <c r="H4"/>
  <c r="H63"/>
  <c r="H61"/>
  <c r="H53"/>
  <c r="H30"/>
  <c r="H31" s="1"/>
  <c r="J31" s="1"/>
  <c r="H65"/>
  <c r="J65"/>
  <c r="J63"/>
  <c r="J61"/>
  <c r="B58"/>
  <c r="H58"/>
  <c r="H57"/>
  <c r="H56"/>
  <c r="H54"/>
  <c r="B52"/>
  <c r="H52" s="1"/>
  <c r="H59" s="1"/>
  <c r="B48"/>
  <c r="H48" s="1"/>
  <c r="J50"/>
  <c r="H45"/>
  <c r="H44"/>
  <c r="J46"/>
  <c r="H37"/>
  <c r="H36"/>
  <c r="H38" s="1"/>
  <c r="H35"/>
  <c r="H25"/>
  <c r="H24"/>
  <c r="H20"/>
  <c r="H19"/>
  <c r="H18"/>
  <c r="H15"/>
  <c r="H16" s="1"/>
  <c r="J38"/>
  <c r="J59"/>
  <c r="J66"/>
  <c r="H5"/>
  <c r="H40"/>
  <c r="H9"/>
  <c r="H10" s="1"/>
  <c r="J10" s="1"/>
  <c r="J5"/>
  <c r="H29" l="1"/>
  <c r="H50"/>
  <c r="H26"/>
  <c r="H27" s="1"/>
  <c r="J27" s="1"/>
  <c r="J62"/>
  <c r="H46"/>
  <c r="J16"/>
  <c r="H33"/>
  <c r="J68"/>
  <c r="J70" s="1"/>
  <c r="J72" s="1"/>
  <c r="H32" l="1"/>
  <c r="J33" s="1"/>
  <c r="G123" i="130"/>
  <c r="D10" i="121"/>
  <c r="F149" i="130"/>
  <c r="G149" s="1"/>
  <c r="F146"/>
  <c r="G146" s="1"/>
  <c r="G90"/>
  <c r="F147" l="1"/>
  <c r="G147" s="1"/>
  <c r="D14" i="121"/>
  <c r="D13"/>
  <c r="F57" i="130"/>
  <c r="F58"/>
  <c r="F144"/>
  <c r="G144" s="1"/>
  <c r="E12" i="121"/>
  <c r="F88" i="130"/>
  <c r="F60" s="1"/>
  <c r="F89"/>
  <c r="G89" s="1"/>
  <c r="F145"/>
  <c r="G145" s="1"/>
  <c r="F148"/>
  <c r="G148" s="1"/>
  <c r="G88" l="1"/>
  <c r="G60"/>
  <c r="F56"/>
  <c r="F9" s="1"/>
  <c r="F228" l="1"/>
  <c r="G59"/>
  <c r="E58" l="1"/>
  <c r="G58" s="1"/>
  <c r="E57"/>
  <c r="G57" l="1"/>
  <c r="E56"/>
  <c r="G56" l="1"/>
  <c r="G9" l="1"/>
  <c r="E228"/>
  <c r="G228" s="1"/>
</calcChain>
</file>

<file path=xl/sharedStrings.xml><?xml version="1.0" encoding="utf-8"?>
<sst xmlns="http://schemas.openxmlformats.org/spreadsheetml/2006/main" count="2198" uniqueCount="571">
  <si>
    <t>№ п/п</t>
  </si>
  <si>
    <t>Источники доходов</t>
  </si>
  <si>
    <t>I</t>
  </si>
  <si>
    <t>2.</t>
  </si>
  <si>
    <t>НАЛОГИ НА СОВОКУПНЫЙ ДОХОД</t>
  </si>
  <si>
    <t>НАЛОГИ НА ИМУЩЕСТВО</t>
  </si>
  <si>
    <t>1.</t>
  </si>
  <si>
    <t>ИТОГО ДОХОДОВ</t>
  </si>
  <si>
    <t>Код статьи</t>
  </si>
  <si>
    <t>ВСЕГО РАСХОДОВ</t>
  </si>
  <si>
    <t>ДЕФИЦИТ(-) Профицит(+)</t>
  </si>
  <si>
    <t>0100</t>
  </si>
  <si>
    <t>Код целевой статьи</t>
  </si>
  <si>
    <t>000 1 00 00000 00 0000 000</t>
  </si>
  <si>
    <t>000 1 11 00000 00 0000 000</t>
  </si>
  <si>
    <t>ШТРАФЫ, САНКЦИИ, ВОЗМЕЩЕНИЕ УЩЕРБА</t>
  </si>
  <si>
    <t>000 1 16 00000 00 0000 000</t>
  </si>
  <si>
    <t>000 2 00 00000 00 0000 000</t>
  </si>
  <si>
    <t>0309</t>
  </si>
  <si>
    <t>0700</t>
  </si>
  <si>
    <t>0707</t>
  </si>
  <si>
    <t>0800</t>
  </si>
  <si>
    <t xml:space="preserve"> Наименование статей</t>
  </si>
  <si>
    <t>Код раздела и подраздела</t>
  </si>
  <si>
    <t>Код вида расходов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</si>
  <si>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</si>
  <si>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</si>
  <si>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</si>
  <si>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</si>
  <si>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</si>
  <si>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</si>
  <si>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</si>
  <si>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</si>
  <si>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</si>
  <si>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</si>
  <si>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</si>
  <si>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</si>
  <si>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0102</t>
  </si>
  <si>
    <t>1.1.1.1</t>
  </si>
  <si>
    <t>1.1.1</t>
  </si>
  <si>
    <t>0104</t>
  </si>
  <si>
    <t>II</t>
  </si>
  <si>
    <t>000 1 16 90000 00 0000 140</t>
  </si>
  <si>
    <t>6.1.1</t>
  </si>
  <si>
    <t>182 1 06 01010 03 0000 110</t>
  </si>
  <si>
    <t xml:space="preserve">000 1 16 90030 03 0000 140 </t>
  </si>
  <si>
    <t>Прочие поступления от денежных взысканий (штрафов) и иных сумм в возмещение ущерба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</si>
  <si>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</si>
  <si>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</si>
  <si>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000 1 13 00000 00 0000 000</t>
  </si>
  <si>
    <t>000 2 02 01000 00 0000 151</t>
  </si>
  <si>
    <t>Арендная плата и поступления от продажи права на заключение договоров аренды земельных участков, за исключением земельных участков , предоставленных на инвестиционных условиях</t>
  </si>
  <si>
    <t>993 2 02 01001 03 0000 151</t>
  </si>
  <si>
    <t>000 2 02 01001 00 0000 151</t>
  </si>
  <si>
    <t>1.1</t>
  </si>
  <si>
    <t>1.1.2</t>
  </si>
  <si>
    <t>2.1</t>
  </si>
  <si>
    <t>2.1.1</t>
  </si>
  <si>
    <t>3.1</t>
  </si>
  <si>
    <t>3.1.1</t>
  </si>
  <si>
    <t>4.1</t>
  </si>
  <si>
    <t>4.1.1</t>
  </si>
  <si>
    <t>4.1.1.1</t>
  </si>
  <si>
    <t>5.1</t>
  </si>
  <si>
    <t>7.1.1</t>
  </si>
  <si>
    <t>ОБЩЕГОСУДАРСТВЕННЫЕ ВОПРОСЫ</t>
  </si>
  <si>
    <t>5.1.1</t>
  </si>
  <si>
    <t>0503</t>
  </si>
  <si>
    <t>Ликвидация несанкционированных свалок бытовых отходов и мусора</t>
  </si>
  <si>
    <t>Выполнение оформления к праздничным мероприятиям</t>
  </si>
  <si>
    <t>000 2 02 03027 00 0000 151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</si>
  <si>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</si>
  <si>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</si>
  <si>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</si>
  <si>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993 2 02 03024 03 0000 151</t>
  </si>
  <si>
    <t>993 2 02 03027 03 0100 151</t>
  </si>
  <si>
    <t>Сумма</t>
  </si>
  <si>
    <t>итого</t>
  </si>
  <si>
    <t>материалы</t>
  </si>
  <si>
    <t>осн средства</t>
  </si>
  <si>
    <t>налог на имущ</t>
  </si>
  <si>
    <t>талоны на отходы</t>
  </si>
  <si>
    <t>рем. орг. техники</t>
  </si>
  <si>
    <t>сигн</t>
  </si>
  <si>
    <t>консультант+ 1С</t>
  </si>
  <si>
    <t>Начисление по дог.</t>
  </si>
  <si>
    <t>дог. подр.</t>
  </si>
  <si>
    <t>котел</t>
  </si>
  <si>
    <t>Ремонт помещ.</t>
  </si>
  <si>
    <t>Эл. эн.</t>
  </si>
  <si>
    <t>Водокан</t>
  </si>
  <si>
    <t>Проезд.карточки</t>
  </si>
  <si>
    <t>Почта</t>
  </si>
  <si>
    <t>ПТС</t>
  </si>
  <si>
    <t>аппарат МА</t>
  </si>
  <si>
    <t>Орган опеки</t>
  </si>
  <si>
    <t>Техслужба</t>
  </si>
  <si>
    <t>Спец 1 кат.</t>
  </si>
  <si>
    <t>Ведущий спец.</t>
  </si>
  <si>
    <t>Гл. спец</t>
  </si>
  <si>
    <t>Нач. отд.</t>
  </si>
  <si>
    <t>Гл. бух МА</t>
  </si>
  <si>
    <t>Зам. Главы МА</t>
  </si>
  <si>
    <t>Глава МА</t>
  </si>
  <si>
    <t>период</t>
  </si>
  <si>
    <t>высл.</t>
  </si>
  <si>
    <t>квал.</t>
  </si>
  <si>
    <t>Ставка</t>
  </si>
  <si>
    <t>Кол-во р.е.</t>
  </si>
  <si>
    <t>Кол-во</t>
  </si>
  <si>
    <t>Штатн.ед.наим</t>
  </si>
  <si>
    <t>Гл. бух МО</t>
  </si>
  <si>
    <t>Глава МО</t>
  </si>
  <si>
    <t>993 2 02 03024 03 0200 151</t>
  </si>
  <si>
    <t>Молодежная политика и оздоровление детей</t>
  </si>
  <si>
    <t>итого 211</t>
  </si>
  <si>
    <t>итого 213</t>
  </si>
  <si>
    <t>993 2 02 03024 03 0100 151</t>
  </si>
  <si>
    <t>Гл. спец МО</t>
  </si>
  <si>
    <t>итого аппарат МС</t>
  </si>
  <si>
    <t>Командировочные</t>
  </si>
  <si>
    <t>Заработная плата и начисления  01.01.10</t>
  </si>
  <si>
    <t xml:space="preserve">обсл. моб. </t>
  </si>
  <si>
    <t>3.1.1.1</t>
  </si>
  <si>
    <t>6.1</t>
  </si>
  <si>
    <t>Налог, взимаемый в связи с применением упрощенной системы налообложения.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</si>
  <si>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</si>
  <si>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</si>
  <si>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</si>
  <si>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</si>
  <si>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 от продажи права на заключение договоров аренды указанных земельных участков</t>
  </si>
  <si>
    <t>000 1 05 00000 00 0000 000</t>
  </si>
  <si>
    <t>000 1 06 00000 00 0000 000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</si>
  <si>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</si>
  <si>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5.1.1.1</t>
  </si>
  <si>
    <t>000 2 02 00000 00 0000 151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</si>
  <si>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</si>
  <si>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</si>
  <si>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7.1</t>
  </si>
  <si>
    <t>Глава муниципального образования</t>
  </si>
  <si>
    <t>000 1 11 05000 00 0000 120</t>
  </si>
  <si>
    <t>000 1 11 05010 00 0000 120</t>
  </si>
  <si>
    <t>1.2</t>
  </si>
  <si>
    <t xml:space="preserve">000 1 16 90030 03 0100 140 </t>
  </si>
  <si>
    <t>БЕЗВОЗМЕЗДНЫЕ ПОСТУПЛЕНИЯ</t>
  </si>
  <si>
    <t>Глава местной администрации (исполнительно-распорядительного органа муниципального образования)</t>
  </si>
  <si>
    <t>Резервный фонд местной администрации</t>
  </si>
  <si>
    <t>Формирование архивных фондов органов местного самоуправления,муниципальных предприятий и учреждений</t>
  </si>
  <si>
    <t>2.1.1.1</t>
  </si>
  <si>
    <t>Физическая культура и спорт</t>
  </si>
  <si>
    <t>Охрана семьи и детства</t>
  </si>
  <si>
    <t xml:space="preserve">860 1 16 90030 03 0200 140 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</si>
  <si>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</si>
  <si>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</si>
  <si>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1.2.1</t>
  </si>
  <si>
    <t>1.1.2.1</t>
  </si>
  <si>
    <t>Организация и проведение досуговых мероприятий для детей и подростков,проживающих на   территории муниципального образования</t>
  </si>
  <si>
    <t>Защита населения и территорий от  чрезвычайных ситуаций природного и техногенного характера, гражданская оборона</t>
  </si>
  <si>
    <t>0111</t>
  </si>
  <si>
    <t>0113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</si>
  <si>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</si>
  <si>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</si>
  <si>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</si>
  <si>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</si>
  <si>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</si>
  <si>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</si>
  <si>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</si>
  <si>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182 1 05 01011 01 0000 110</t>
  </si>
  <si>
    <t>182 1 05 01012 01 0000 110</t>
  </si>
  <si>
    <t>Налог, взимаемый с налогоплатильщиков,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</si>
  <si>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</si>
  <si>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</si>
  <si>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</si>
  <si>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182 1 05 02010 02 0000 110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</si>
  <si>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 </t>
  </si>
  <si>
    <t>Штрафы за административные правонарушения в обасти благоустройства, предусмотренные  главой 4 Закона Санкт-Петербурга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</si>
  <si>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 Закона Санкт-Петербурга "Об административных правонарушениях в Санкт-Петербурге"</t>
  </si>
  <si>
    <t>993 2 02 03027 03 0000 151</t>
  </si>
  <si>
    <t>7.2.1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</si>
  <si>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</si>
  <si>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7.2.1.1</t>
  </si>
  <si>
    <t>Культура, кинематография</t>
  </si>
  <si>
    <t>Дотации бюджетам внутригородских муниципальных образований городов федерального значения Москвы и Санкт-Петербурга на выравнивание  уровня бюджетной обеспеченности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</si>
  <si>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</si>
  <si>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 xml:space="preserve">План на 2011год(тыс. руб.) </t>
  </si>
  <si>
    <t>Прогноз исполнения за 2011 год</t>
  </si>
  <si>
    <t>Собственные доходы</t>
  </si>
  <si>
    <t>Проект</t>
  </si>
  <si>
    <t>Исполнение  на 1.09.11</t>
  </si>
  <si>
    <t>000 2 02 02000 00 0000 151</t>
  </si>
  <si>
    <t>000 2 02 02999 00 0000 151</t>
  </si>
  <si>
    <t>Прочие субсидии</t>
  </si>
  <si>
    <t>1003</t>
  </si>
  <si>
    <t>Социальное обеспечение населения</t>
  </si>
  <si>
    <t xml:space="preserve">Расходы на предоставление доплат к пенсии лицам , замещавшим муниципальные должности и должности муниципальной службы </t>
  </si>
  <si>
    <t>0409</t>
  </si>
  <si>
    <t>Дорожное хозяйство</t>
  </si>
  <si>
    <t>993 2 02 02999 03 0000 151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</si>
  <si>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</si>
  <si>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1.3</t>
  </si>
  <si>
    <t>Компенсации депутатам, осуществляющим свои полномочия на непостоянной основе</t>
  </si>
  <si>
    <t>830 1 11 05011 02 0100 120</t>
  </si>
  <si>
    <t>ДОХОДЫ ОТ ОКАЗАНИЯ ПЛАТНЫХ УСЛУГ(РАБОТ) И КОМПЕНСАЦИИ ЗАТРАТ ГОСУДАРСТВА</t>
  </si>
  <si>
    <t>000 1 13 02990 00 0000 130</t>
  </si>
  <si>
    <t>Прочие доходы от  компенсации затрат государства</t>
  </si>
  <si>
    <t>000 1 13 02993 03 0000 130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</si>
  <si>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</si>
  <si>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867 1 13 02993 03 0100 130</t>
  </si>
  <si>
    <t>182 1 05 01050 01 0000 110</t>
  </si>
  <si>
    <t>Минимальный налог, зачисляемый в бюджеты субъектов Российской Федерации</t>
  </si>
  <si>
    <t>1.1.3</t>
  </si>
  <si>
    <t>000 1 05 01000 00 0000 110</t>
  </si>
  <si>
    <t>000 1 06 01000 00 0000 110</t>
  </si>
  <si>
    <t>000 1 05 02000 02 0000 110</t>
  </si>
  <si>
    <t>Проект на 2015 год</t>
  </si>
  <si>
    <t>993 2 02 03027 03 0200 151</t>
  </si>
  <si>
    <t>Прогноз исполнения за 2013 год</t>
  </si>
  <si>
    <t>Проект на 2016 год</t>
  </si>
  <si>
    <t>Аппарат представительного органа муниципального образования</t>
  </si>
  <si>
    <t>Прочая закупка товаров, работ и услуг для муниципальных нужд</t>
  </si>
  <si>
    <t>244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</si>
  <si>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</si>
  <si>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240</t>
  </si>
  <si>
    <t>Резервные средства</t>
  </si>
  <si>
    <t>870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</si>
  <si>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</si>
  <si>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Текущий ремонт и содержание дорог, расположенных в пределах границ муниципального образования</t>
  </si>
  <si>
    <t>Текущий ремонт придомовых территорий и дворовых территорий, включая проезды и выезды, пешеходные дорожки муниципального образования</t>
  </si>
  <si>
    <t>Благоустройство территории муниципального образования, связанное с обеспечением  санитарного благополучия населения</t>
  </si>
  <si>
    <t>Участие в обеспечении чистоты и порядка</t>
  </si>
  <si>
    <t>Уборка водных акваторий , тупиков и проездов</t>
  </si>
  <si>
    <t>Озеленение территории муниципального образования</t>
  </si>
  <si>
    <t>Озеленение территорий , зеленых насаждений внутриквартального озеленения</t>
  </si>
  <si>
    <t>Прочие мероприятия в области благоустройства</t>
  </si>
  <si>
    <t>0804</t>
  </si>
  <si>
    <t>7.1.1.1</t>
  </si>
  <si>
    <t>Периодические издания, учрежденные представительными органами местного самоуправления</t>
  </si>
  <si>
    <t>План на 2013г. (тыс.руб)</t>
  </si>
  <si>
    <t>000 1 05 01020 01 0000 110</t>
  </si>
  <si>
    <t>000 1 11 05011 02 0000 120</t>
  </si>
  <si>
    <t>3.1.1.1.0</t>
  </si>
  <si>
    <t>3.2</t>
  </si>
  <si>
    <t>000 1 11 070 00 0000 120</t>
  </si>
  <si>
    <t>3.2.1</t>
  </si>
  <si>
    <t>993 1 11 07013 03 0000 120</t>
  </si>
  <si>
    <t>4.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</si>
  <si>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</si>
  <si>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</si>
  <si>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7.1.1.2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</si>
  <si>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</si>
  <si>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</si>
  <si>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</si>
  <si>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</si>
  <si>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000 1 11 02000 00 0000 120</t>
  </si>
  <si>
    <t>Доходы от размещения средств бюджетов</t>
  </si>
  <si>
    <t>966 1 11 02031 03 0000 120</t>
  </si>
  <si>
    <t>Доходы от размещения  временно свободных средств местных бюджетов, расположенным в границах внутригородских муниципальных образований городов федерального значения Москвы и Санкт-Петербурга</t>
  </si>
  <si>
    <t>000 1 11 03000 00 0000 120</t>
  </si>
  <si>
    <t>Проценты, полученные от предоставления бюджетных кредитов внутри страны</t>
  </si>
  <si>
    <t>966 1 11 03030 03 0000 120</t>
  </si>
  <si>
    <t>Проценты, полученные от предоставления бюджетных кредитов внутри страны за счет бюджетов внутригородских муниципальных образований городов федерального значения Москвы и Санкт-Петербурга</t>
  </si>
  <si>
    <t>Исполнение  на 1.09.13</t>
  </si>
  <si>
    <t>Сумма   (тыс.руб.)</t>
  </si>
  <si>
    <t>Приложение №3</t>
  </si>
  <si>
    <t>Единый налог на вмененный доход для отдельных видов деятельности (папентная система налогообложения)</t>
  </si>
  <si>
    <t>Резервные фонды</t>
  </si>
  <si>
    <t xml:space="preserve">Иные закупки товаров, работ и услуг для обеспечения государственных (муниципальных) нужд
</t>
  </si>
  <si>
    <t xml:space="preserve">Другие вопросы в области культуры, кинематографии
</t>
  </si>
  <si>
    <t xml:space="preserve">Функционирование высшего должностного лица субъекта Российской Федерации и муниципального образования
</t>
  </si>
  <si>
    <t>Национальная экономика</t>
  </si>
  <si>
    <t>0400</t>
  </si>
  <si>
    <t>НАЛОГОВЫЕ И НЕНАЛОГОВЫЕ ДОХОДЫ</t>
  </si>
  <si>
    <t>Платежи от государственных и муниципальных предприятий</t>
  </si>
  <si>
    <t>БЕЗВОЗМЕЗДНЫЕ ПОСТУПЛЕНИЯ ОТДРУГИХ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</si>
  <si>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</si>
  <si>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СУБЪЕКТОВ РОССИЙСКОЙ ФЕДЕРАЦИИ И МУНИЦИПАЛЬНЫХ ОБРАЗОВАНИЙ </t>
  </si>
  <si>
    <t>7.2</t>
  </si>
  <si>
    <t>7.2.1.2</t>
  </si>
  <si>
    <t>Благоустройство</t>
  </si>
  <si>
    <t>4.1.1.1.1</t>
  </si>
  <si>
    <t>0705</t>
  </si>
  <si>
    <t xml:space="preserve">Профессиональная подготовка, переподготовка и повышение квалификации
</t>
  </si>
  <si>
    <t>100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</si>
  <si>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</si>
  <si>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</si>
  <si>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государственных (муниципальных) органов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</si>
  <si>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</si>
  <si>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</si>
  <si>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</si>
  <si>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 xml:space="preserve">Закупка товаров, работ и услуг для государственных (муниципальных) нужд
</t>
  </si>
  <si>
    <t>800</t>
  </si>
  <si>
    <t xml:space="preserve">Иные бюджетные ассигнования
</t>
  </si>
  <si>
    <t>850</t>
  </si>
  <si>
    <t xml:space="preserve">Уплата налогов, сборов и иных платежей
</t>
  </si>
  <si>
    <t>300</t>
  </si>
  <si>
    <t>310</t>
  </si>
  <si>
    <t xml:space="preserve">Социальное обеспечение и иные выплаты населению
</t>
  </si>
  <si>
    <t xml:space="preserve">Публичные нормативные социальные выплаты гражданам
</t>
  </si>
  <si>
    <t>1 квартал (тыс. руб)</t>
  </si>
  <si>
    <t>2 квартал (тыс. руб)</t>
  </si>
  <si>
    <t>3 квартал (тыс. руб)</t>
  </si>
  <si>
    <t>4 квартал (тыс. руб)</t>
  </si>
  <si>
    <t>на 01.01.2014</t>
  </si>
  <si>
    <t>(тыс.руб.)</t>
  </si>
  <si>
    <t>Код</t>
  </si>
  <si>
    <t>Наименование</t>
  </si>
  <si>
    <t>1.Источники внутреннего финансирования дефицита бюджета</t>
  </si>
  <si>
    <t xml:space="preserve">000 01 05 00 00 00 0000 000 </t>
  </si>
  <si>
    <t>Изменение остатков средств 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</si>
  <si>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</si>
  <si>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</si>
  <si>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Итого по источникам внутреннего финансирования дефицита бюджета</t>
  </si>
  <si>
    <t>Всего источников финансирования дефицита бюджета</t>
  </si>
  <si>
    <t>ДОХОДЫ</t>
  </si>
  <si>
    <t xml:space="preserve">ДОХОДЫ ОТ ОКАЗАНИЯ ПЛАТНЫХ УСЛУГ (РАБОТ) И КОМПЕНСАЦИИ ЗАТРАТ ГОСУДАРСТВА
</t>
  </si>
  <si>
    <t>000 1 13 02000 00 0000 130</t>
  </si>
  <si>
    <t xml:space="preserve">Доходы от компенсации затрат государства
</t>
  </si>
  <si>
    <t xml:space="preserve">000 1 13 02993 03 0000 130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</si>
  <si>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</si>
  <si>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000 1 13 02993 03 0100 130 </t>
  </si>
  <si>
    <t>к Решению Муниципального Совета МО пос. Лисий Нос</t>
  </si>
  <si>
    <t>№      от      2015 г.</t>
  </si>
  <si>
    <t xml:space="preserve"> МЕСТНОГО БЮДЖЕТА МУНИЦИПАЛЬНОГО ОБРАЗОВАНИЯ ПОСЕЛОК ЛИСИЙ НОС НА 2016 ГОД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</si>
  <si>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</si>
  <si>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</si>
  <si>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</si>
  <si>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4.2</t>
  </si>
  <si>
    <t>4.2.1</t>
  </si>
  <si>
    <t>4.2.1.1</t>
  </si>
  <si>
    <t>4.2.1.2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</si>
  <si>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</si>
  <si>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Финансовое обеспеченности деятельности муниципальных казенных учреждений, а также осуществление закупок товаров, работ, услуг для обеспечения муниципальных нужд.</t>
  </si>
  <si>
    <t>Содержание муниципальной информационной службы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</si>
  <si>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 физкультурно-оздоровиткльных мероприятий и спортивных мероприятий МО пос. Лисий Нос</t>
  </si>
  <si>
    <t>0401</t>
  </si>
  <si>
    <t>810</t>
  </si>
  <si>
    <t xml:space="preserve">Иные бюджетные ассигнования
</t>
  </si>
  <si>
    <t xml:space="preserve">Общеэкономические вопросы
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</si>
  <si>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</si>
  <si>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</si>
  <si>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</si>
  <si>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Благоустройство придомовых территорий и дворовых территорий</t>
  </si>
  <si>
    <t>Проведение санитарных рубок , удаление аварийных,больных деревьев и кустарников</t>
  </si>
  <si>
    <t>Создание зон отдыха. Обустройство, содержание и уборка детских площадок</t>
  </si>
  <si>
    <t xml:space="preserve">Обустройство, содержание и уборка спортивных площадок </t>
  </si>
  <si>
    <t>Муниципальная  программа по участию в реализации мер по профилактике  дорожно-транспортного травматизма на территории муниципального образования</t>
  </si>
  <si>
    <t xml:space="preserve">Организация и проведение местных и участие в организации и проведении городских  праздничных и иных зрелищных мероприятий, организация и проведение мероприятий по сохранению и развитию местных традиций и обрядов </t>
  </si>
  <si>
    <t>Организация и проведение досуговых мероприятий для жителей МО пос. Лисий Нос</t>
  </si>
  <si>
    <t>Проведение конференций граждан (собраний делегатов), опросов граждан по инициативе органов местного самоуправления, публичных слушаний и собраний граждан</t>
  </si>
  <si>
    <t>0412</t>
  </si>
  <si>
    <t xml:space="preserve">Другие вопросы в области национальной экономики
</t>
  </si>
  <si>
    <t>Содействие развитию малого бизнеса на территории МО пос. Лисий Нос</t>
  </si>
  <si>
    <t>Муниципальная программа по участию в деятельности профилактике правонарушений в Санкт-Петербурге; участие в профилактике терроризма и экстремизма, а также минимизации и (или) ликвидации последствий проявления терроризма и экстемизма на территории МО пос. Лисий Нос</t>
  </si>
  <si>
    <t>Муниципальная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</si>
  <si>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 xml:space="preserve">Единый налог на вмененный доход для отдельных видов деятельности </t>
  </si>
  <si>
    <t>2.1.1.2</t>
  </si>
  <si>
    <t>2.2</t>
  </si>
  <si>
    <t>2.2.1</t>
  </si>
  <si>
    <t>2.2.1.1</t>
  </si>
  <si>
    <t>Организация учета зеленых насаждений внутриквартального озеленения на территории МО пос. Лисий Нос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</si>
  <si>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</si>
  <si>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</si>
  <si>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 на выравнивание  уровня бюджетной обеспеченности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</si>
  <si>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</si>
  <si>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</si>
  <si>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07000 0006 0 </t>
  </si>
  <si>
    <t>00200 0001 0</t>
  </si>
  <si>
    <t>00200 0002 0</t>
  </si>
  <si>
    <t>00200 0003 0</t>
  </si>
  <si>
    <t>09000 0029 0</t>
  </si>
  <si>
    <t>33000 0007 0</t>
  </si>
  <si>
    <t>09200 0007 2</t>
  </si>
  <si>
    <t>79500 0053 0</t>
  </si>
  <si>
    <t>09200 0044 0</t>
  </si>
  <si>
    <t>79500 0052 0</t>
  </si>
  <si>
    <t>09200 0046 0</t>
  </si>
  <si>
    <t>21900 0009 0</t>
  </si>
  <si>
    <t>31500 0011 0</t>
  </si>
  <si>
    <t>34500 0012 0</t>
  </si>
  <si>
    <t>60000 0013 0</t>
  </si>
  <si>
    <t>60000 0013 1</t>
  </si>
  <si>
    <t>60000 0014 0</t>
  </si>
  <si>
    <t>60000 0014 1</t>
  </si>
  <si>
    <t>60000 0014 2</t>
  </si>
  <si>
    <t>60000 0014 3</t>
  </si>
  <si>
    <t>60000 0015 2</t>
  </si>
  <si>
    <t>60000 0015 5</t>
  </si>
  <si>
    <t>60000 0015 0</t>
  </si>
  <si>
    <t>60000 0016 1</t>
  </si>
  <si>
    <t>60000 0016 2</t>
  </si>
  <si>
    <t>60000 0016 3</t>
  </si>
  <si>
    <t>60000 0016 0</t>
  </si>
  <si>
    <t>42800 0018 0</t>
  </si>
  <si>
    <t>45000 0020 1</t>
  </si>
  <si>
    <t>45000 0020 2</t>
  </si>
  <si>
    <t>50500 0023 0</t>
  </si>
  <si>
    <t>51200 0024 0</t>
  </si>
  <si>
    <t>45700 0025 1</t>
  </si>
  <si>
    <t>00200 0002 1</t>
  </si>
  <si>
    <t>00200 0002 2</t>
  </si>
  <si>
    <t>00200 0003 1</t>
  </si>
  <si>
    <t>00200 0003 2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</si>
  <si>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</si>
  <si>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Содержание и обеспечение деятельности представительного органа муниципального образования</t>
  </si>
  <si>
    <t>79500 0049 0</t>
  </si>
  <si>
    <t xml:space="preserve"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Санкт-Петербурга;
</t>
  </si>
  <si>
    <t xml:space="preserve">09200 G0100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</si>
  <si>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Санкт-Петербурга;</t>
  </si>
  <si>
    <t xml:space="preserve">00200 G0850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</si>
  <si>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Санкт-Петербурга;</t>
  </si>
  <si>
    <t>51100 G0860</t>
  </si>
  <si>
    <t>ИСПОЛНЕНИЕ</t>
  </si>
  <si>
    <t>Исполнено   (тыс.руб.)</t>
  </si>
  <si>
    <t>Исполнено                          (%)</t>
  </si>
  <si>
    <t>План (тыс. руб.)</t>
  </si>
  <si>
    <t xml:space="preserve">867 1 13 02993 03 0100 130 </t>
  </si>
  <si>
    <t>План (тыс.руб)</t>
  </si>
  <si>
    <t>Исполнено (тыс.руб)</t>
  </si>
  <si>
    <t>Исполнено (%)</t>
  </si>
  <si>
    <t xml:space="preserve">Временное трудоустройство несовершеннолетних в возрасте от 14 до 18 лет в свободное от учебы время                           
</t>
  </si>
  <si>
    <t xml:space="preserve"> План (тыс.руб)</t>
  </si>
  <si>
    <t>Исполнение (тыс.руб)</t>
  </si>
  <si>
    <t>Исполнение (%)</t>
  </si>
  <si>
    <t xml:space="preserve">ИСПОЛНЕНИЕ </t>
  </si>
  <si>
    <t>000 01 05 00 00 00 0000 000</t>
  </si>
  <si>
    <t xml:space="preserve">993 1 13 02993 03 0100 130 </t>
  </si>
  <si>
    <t>50500 0021 0</t>
  </si>
  <si>
    <t>Социальное обеспечение и иные выплаты населению</t>
  </si>
  <si>
    <t>Пособия, компенсации и иные социальные выплаты
гражданам, кроме публичных нормативных обязательств</t>
  </si>
  <si>
    <t>321</t>
  </si>
  <si>
    <t>Приложение № 1</t>
  </si>
  <si>
    <t>Содержание технического персонала местной администрации</t>
  </si>
  <si>
    <t>00200 0003 3</t>
  </si>
  <si>
    <t>Заработная плата технического персонала</t>
  </si>
  <si>
    <t>Начисления на оплату труда технического персонала</t>
  </si>
  <si>
    <t xml:space="preserve"> 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экстемизма на территории МО пос. Лисий Нос</t>
  </si>
  <si>
    <t>79500 0055 0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</si>
  <si>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терририторий от черезвычайных ситуаций , а так же содействие в  информировании населения об угрозе возникновения или о возникновении черезвычайной ситуации.</t>
  </si>
  <si>
    <t>21900 0008 0</t>
  </si>
  <si>
    <t>Проведение оплачиваемых общественных работ</t>
  </si>
  <si>
    <t>51001 0010 0</t>
  </si>
  <si>
    <t>51002 0020 0</t>
  </si>
  <si>
    <t>Организация дополнительных парковочных мест на дворовых территориях.</t>
  </si>
  <si>
    <t>60000 0013 2</t>
  </si>
  <si>
    <t>Расходы на осуществление защиты прав потребителей</t>
  </si>
  <si>
    <t>09200 00073</t>
  </si>
  <si>
    <t xml:space="preserve">Дотации бюджетам субъектов Российской Федерации </t>
  </si>
  <si>
    <t>к Решению муниципального совета МО пос. Лисий Нос</t>
  </si>
  <si>
    <t>993 1 17 05030 03 0000 180</t>
  </si>
  <si>
    <t>000 2 02 03000 00 0000 150</t>
  </si>
  <si>
    <t>993 2 02 03027 03 0000 150</t>
  </si>
  <si>
    <t>993 2 02 03027 03 0100 150</t>
  </si>
  <si>
    <t>000 2 02 19999 00 0000 150</t>
  </si>
  <si>
    <t>993 2 02 19999 03 0000 150</t>
  </si>
  <si>
    <t>Прочие дотации бюджетам внутригородских муниципальных образований городов федерального значения</t>
  </si>
  <si>
    <t>Обеспечение проведения выборов и референдумов</t>
  </si>
  <si>
    <t>0107</t>
  </si>
  <si>
    <t>0020000011</t>
  </si>
  <si>
    <t>Иные выплаты, за исключением фонда оплаты труда государственных (муниципальных) органов, лицам,привлекаемым согласно законодательству для выполнения отдельных полномочий</t>
  </si>
  <si>
    <t>60000 0013 3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</si>
  <si>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территорий муниципального образования</t>
  </si>
  <si>
    <t>Проведение санитарных рубок, удаление аварийных, больных деревьев и кустарников</t>
  </si>
  <si>
    <t>60001 0015 0</t>
  </si>
  <si>
    <t>60002 0015 0</t>
  </si>
  <si>
    <t>60003 0015 0</t>
  </si>
  <si>
    <t>60004 0015 0</t>
  </si>
  <si>
    <t>60005 0015 0</t>
  </si>
  <si>
    <t>60006 0015 0</t>
  </si>
  <si>
    <t>Размещение и содержание наружной информации в части указателей, информационных щитов и стендов</t>
  </si>
  <si>
    <t>60000 0016 4</t>
  </si>
  <si>
    <t>Проведение работ по военно-патриотическому воспитанию граждан</t>
  </si>
  <si>
    <t>43100 00190  0</t>
  </si>
  <si>
    <t>43101 00190  0</t>
  </si>
  <si>
    <t>43102 00190  0</t>
  </si>
  <si>
    <t>00000 00000  0</t>
  </si>
  <si>
    <t>Расходы на исполнение государственного полномочия по составлению протоколов об административных правонарушениях за счет субвенций Санут-Петербурга</t>
  </si>
  <si>
    <t>09200 G0100 0</t>
  </si>
  <si>
    <t>Муниципальная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пос.Лисий Нос</t>
  </si>
  <si>
    <t>79500 0054 0</t>
  </si>
  <si>
    <t>Налог взимаемый с налогаплательщиков, выбравших в качестве объекта налогооблажения доходы, уменьшенные на величину расходов</t>
  </si>
  <si>
    <t>№ ___ от "__"  ____ 20__ г.</t>
  </si>
  <si>
    <t>ДОХОДОВ МЕСТНОГО БЮДЖЕТА МО ПОС. ЛИСИЙ НОС ЗА 2020 ГОД ПО КОДАМ КЛАССИФИКАЦИИ ДОХОДОВ БЮДЖЕТА</t>
  </si>
  <si>
    <t xml:space="preserve"> ИСПОЛНЕНИЕ РАСПРЕДЕЛЕНИЯ БЮДЖЕТНЫХ АССИГНОВАНИЙ ПО РАЗДЕЛАМ, ПОДРАЗДЕЛАМ, ЦЕЛЕВЫМ СТАТЬЯМ, ГРУППАМ, ПОДГРУППАМ ВИДОВ РАСХОДОВ МЕСТНОГО БЮДЖЕТА МУНИЦИПАЛЬНОГО ОБРАЗОВАНИЯ ПОСЕЛОК ЛИСИЙ НОС ЗА 2020 год</t>
  </si>
  <si>
    <t>№ __________ от "___"  ____________2020 г.</t>
  </si>
  <si>
    <t>№ _____ от "____" ______________2020</t>
  </si>
  <si>
    <t>ИСТОЧНИКОВ ФИНАНСИРОВАНИЯ ДЕФИЦИТА МЕСТНОГО БЮДЖЕТА МО ПОСЕЛОК ЛИСИЙ НОС ЗА 2020 ГОД ПО КОДАМ КЛАССИФИКАЦИИ ИСТОЧНИКОВ ФИНАНСИРОВАНИЯ ДЕФИЦИТА БЮДЖЕТА</t>
  </si>
  <si>
    <t>2.1.1.1.0</t>
  </si>
  <si>
    <t>3.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</si>
  <si>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</si>
  <si>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</si>
  <si>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806 1 16 02010 02 0100 140</t>
  </si>
  <si>
    <t>000 2 02 15001 00 0000 150</t>
  </si>
  <si>
    <t>993 2 02 15001 03 0000 150</t>
  </si>
  <si>
    <t>000 2 02 30024 00 0000 150</t>
  </si>
  <si>
    <t>Минимальный налог, зачисляемый в бюджеты субъектов Российской Федерации ( за налоговые периоды до 01 января 2016)</t>
  </si>
  <si>
    <t>Арендная плата и поступления от продажи права на заключение договоров аренды земельных участков, за исключением земельных участков , предоставленных на инвестиционных условиях, подлежащие зачислению в бюджеты внутригородских муниципальных образований</t>
  </si>
  <si>
    <t xml:space="preserve">Административные штрафы, установленные законами субъектов Российской Федерации об административных правонарушениях </t>
  </si>
  <si>
    <t>Штрафы , предусмотренные статьями 12-37-1 закона Санкт-Петербурга  от 12.05.2010 3 273-70 ( об административных правонарушениях в Санкт-петербурге)</t>
  </si>
  <si>
    <t>000 2 02 1000 00 0000 150</t>
  </si>
  <si>
    <t xml:space="preserve">СУБВЕНЦИИ БЮДЖЕТАМ БЮДЖЕТНОЙ СИСТЕМЫ РОССИЙСКОЙ ФЕДЕРАЦИИ </t>
  </si>
  <si>
    <t>993 2 02 30024 03 0000 150</t>
  </si>
  <si>
    <t>993 2 02 30024 03 0100 150</t>
  </si>
  <si>
    <t>993 2 02 30024 03 0200 150</t>
  </si>
  <si>
    <t>000 2 02 30027 00 0000 150</t>
  </si>
  <si>
    <t xml:space="preserve">000 1 13 02990 03 0000 130 </t>
  </si>
  <si>
    <t>Другие виды прочих доходов от компенсации затрат бюджетов внутригородских муниципальных образований санкт-петербурга</t>
  </si>
  <si>
    <t>3.1.1.2</t>
  </si>
  <si>
    <t>1.2.2</t>
  </si>
  <si>
    <t>806 1 16 10123 01 0031 140</t>
  </si>
  <si>
    <t>Доходы от денежных взысканий ( штрафов), поступающие в счет погашения з0адолженности, образовавшейся до 01.01.2020.</t>
  </si>
  <si>
    <t>825 1 16 10123 01 0031 140</t>
  </si>
  <si>
    <t>5.1.2</t>
  </si>
  <si>
    <t>00 1 16 10120 00 0000 140</t>
  </si>
  <si>
    <t>Прочие дотации</t>
  </si>
  <si>
    <t>000 1 17 00000 00 0000 180</t>
  </si>
  <si>
    <t>Прочие неналоговые доходы</t>
  </si>
  <si>
    <t xml:space="preserve">Прочие неналоговые доходы бюджетов внутригородских муниципальных образований городов федерального значения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</si>
  <si>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</si>
  <si>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</si>
  <si>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5101 0010 0</t>
  </si>
  <si>
    <t>Расходы по содержанию и обеспечению МКУ "Лисий Нос"</t>
  </si>
  <si>
    <t>Расходы на выплаты персоналу в целях обеспечения выполнения функций муниципальными казенными учреждениями</t>
  </si>
  <si>
    <t>Иные бюджетные ассигнования</t>
  </si>
  <si>
    <t>Уплата налогов, сборов и иных платежей</t>
  </si>
  <si>
    <t>00200 0001 2</t>
  </si>
  <si>
    <t>830</t>
  </si>
  <si>
    <t>Увеличение стоимости основных средств</t>
  </si>
  <si>
    <t>340</t>
  </si>
  <si>
    <t>Увеличение стоимости материальных запасов</t>
  </si>
  <si>
    <t>Приложение № 3</t>
  </si>
  <si>
    <t>Код по ГРБС</t>
  </si>
  <si>
    <t>Главный распорядитель бюджетных средств - Муниципальный Совет муниципального образования п.Лисий Нос (ГРБС)</t>
  </si>
  <si>
    <t>923</t>
  </si>
  <si>
    <t xml:space="preserve">Уплата налогов, сборов и иных платежей
</t>
  </si>
  <si>
    <t>991</t>
  </si>
  <si>
    <t>02001 0001 0</t>
  </si>
  <si>
    <t>Проведение муниципальных выборов</t>
  </si>
  <si>
    <t>Проведение выборов в представтельные органы местного самоуправления</t>
  </si>
  <si>
    <t>Главный распорядитель бюджетных средств - Избирательная комиссия п.Лисий Нос (ГРБС)</t>
  </si>
  <si>
    <t xml:space="preserve">Обеспечение избирательной комиссии </t>
  </si>
  <si>
    <t>0020100010</t>
  </si>
  <si>
    <t>Функционирование Председателя избирательной комиссии  внутригородского МО пос.Лисий Нос</t>
  </si>
  <si>
    <t>Прочая закупка товаров, работ и услуг для обеспечения избирательной комиссии внутригородского МО пос.Лисий Нос</t>
  </si>
  <si>
    <t>Главный распорядитель бюджетных средств - Местная администрация муниципального образования п.Лисий Нос (ГРБС)</t>
  </si>
  <si>
    <t>993</t>
  </si>
  <si>
    <t>Глава местной администрации (исполнительно-распорядительного органа) муниципального образования</t>
  </si>
  <si>
    <t>Муниципальная программа по участию в деятельности профилактике правонарушений в Санкт-Петербурге</t>
  </si>
  <si>
    <t>Муниципальная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пос. Лисий Нос</t>
  </si>
  <si>
    <t>51010 0010 0</t>
  </si>
  <si>
    <t>51020 0020 0</t>
  </si>
  <si>
    <t>Уборка тупиков и проездов</t>
  </si>
  <si>
    <t>Озеленение территорий, зеленых насаждений внутриквартального озеленения</t>
  </si>
  <si>
    <t>60000 0015 1</t>
  </si>
  <si>
    <t>Размещение и содержание наружной инфйормации в части указателей, информационных щитов и стендов</t>
  </si>
  <si>
    <t>Молодежная политика</t>
  </si>
  <si>
    <t>43100 0019 0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</si>
  <si>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</si>
  <si>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мероприятий,физкультурно-оздоровительных мероприятий и спортивных мероприятий МО пос. Лисий Нос</t>
  </si>
  <si>
    <t>51200 0024 1</t>
  </si>
  <si>
    <t>Периодические издания, учрежденные органами местного самоуправления</t>
  </si>
  <si>
    <t>Опубликование муниципальных правовых актов, иной информации</t>
  </si>
  <si>
    <t>45700 0025 2</t>
  </si>
  <si>
    <t>Приложение №2</t>
  </si>
  <si>
    <t xml:space="preserve">к решению Муниципального Совета МО пос. Лисий Нос </t>
  </si>
  <si>
    <t xml:space="preserve"> РАСПРЕДЕЛЕНИЕ БЮДЖЕТНЫХ АССИГНОВАНИЙ ПО РАЗДЕЛАМ И ПОДРАЗДЕЛАМ  МЕСТНОГО БЮДЖЕТА МУНИЦИПАЛЬНОГО ОБРАЗОВАНИЯ ПОСЕЛОК ЛИСИЙ НОС НА 2020 год</t>
  </si>
  <si>
    <t xml:space="preserve">Молодежная политика </t>
  </si>
  <si>
    <t>План              (тыс. руб.)</t>
  </si>
  <si>
    <t>Исполнено             (тыс. руб.)</t>
  </si>
  <si>
    <t>Исполнено              (%)</t>
  </si>
  <si>
    <t>Приложение № 4</t>
  </si>
  <si>
    <t xml:space="preserve">                         Приложение № 5</t>
  </si>
</sst>
</file>

<file path=xl/styles.xml><?xml version="1.0" encoding="utf-8"?>
<styleSheet xmlns="http://schemas.openxmlformats.org/spreadsheetml/2006/main">
  <numFmts count="6">
    <numFmt numFmtId="164" formatCode="_-* #,##0&quot;р.&quot;_-;\-* #,##0&quot;р.&quot;_-;_-* &quot;-&quot;&quot;р.&quot;_-;_-@_-"/>
    <numFmt numFmtId="165" formatCode="0.0"/>
    <numFmt numFmtId="166" formatCode="#,##0.0"/>
    <numFmt numFmtId="167" formatCode="#,##0&quot;р.&quot;"/>
    <numFmt numFmtId="168" formatCode="#,##0.00&quot;р.&quot;"/>
    <numFmt numFmtId="169" formatCode="0.0%"/>
  </numFmts>
  <fonts count="32">
    <font>
      <sz val="10"/>
      <name val="MS Sans Serif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sz val="14"/>
      <name val="MS Sans Serif"/>
      <family val="2"/>
      <charset val="204"/>
    </font>
    <font>
      <sz val="12"/>
      <name val="MS Sans Serif"/>
      <family val="2"/>
      <charset val="204"/>
    </font>
    <font>
      <b/>
      <sz val="12"/>
      <name val="MS Sans Serif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6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17" fillId="0" borderId="0"/>
    <xf numFmtId="0" fontId="10" fillId="0" borderId="0"/>
    <xf numFmtId="0" fontId="14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550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10" fillId="0" borderId="0" xfId="5"/>
    <xf numFmtId="168" fontId="10" fillId="0" borderId="0" xfId="5" applyNumberFormat="1" applyFont="1" applyFill="1" applyBorder="1" applyAlignment="1" applyProtection="1">
      <alignment horizontal="right" vertical="top"/>
    </xf>
    <xf numFmtId="0" fontId="10" fillId="0" borderId="0" xfId="5" applyNumberFormat="1" applyFont="1" applyFill="1" applyBorder="1" applyAlignment="1" applyProtection="1">
      <alignment vertical="top"/>
    </xf>
    <xf numFmtId="9" fontId="10" fillId="0" borderId="0" xfId="5" applyNumberFormat="1" applyFont="1" applyFill="1" applyBorder="1" applyAlignment="1" applyProtection="1">
      <alignment vertical="top"/>
    </xf>
    <xf numFmtId="164" fontId="10" fillId="0" borderId="0" xfId="5" applyNumberFormat="1" applyFont="1" applyFill="1" applyBorder="1" applyAlignment="1" applyProtection="1">
      <alignment horizontal="right" vertical="top"/>
    </xf>
    <xf numFmtId="168" fontId="10" fillId="0" borderId="0" xfId="5" applyNumberFormat="1"/>
    <xf numFmtId="4" fontId="10" fillId="0" borderId="0" xfId="5" applyNumberFormat="1" applyFont="1" applyFill="1" applyBorder="1" applyAlignment="1" applyProtection="1">
      <alignment vertical="top"/>
    </xf>
    <xf numFmtId="168" fontId="11" fillId="0" borderId="0" xfId="5" applyNumberFormat="1" applyFont="1"/>
    <xf numFmtId="168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horizontal="center" vertical="top"/>
    </xf>
    <xf numFmtId="9" fontId="10" fillId="0" borderId="7" xfId="5" applyNumberFormat="1" applyFont="1" applyFill="1" applyBorder="1" applyAlignment="1" applyProtection="1">
      <alignment vertical="top"/>
    </xf>
    <xf numFmtId="164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vertical="top"/>
    </xf>
    <xf numFmtId="4" fontId="12" fillId="0" borderId="7" xfId="5" applyNumberFormat="1" applyFont="1" applyFill="1" applyBorder="1" applyAlignment="1" applyProtection="1">
      <alignment vertical="top"/>
    </xf>
    <xf numFmtId="0" fontId="10" fillId="0" borderId="7" xfId="5" applyNumberFormat="1" applyFill="1" applyBorder="1" applyAlignment="1" applyProtection="1">
      <alignment vertical="top"/>
    </xf>
    <xf numFmtId="4" fontId="12" fillId="0" borderId="0" xfId="5" applyNumberFormat="1" applyFont="1" applyFill="1" applyBorder="1" applyAlignment="1" applyProtection="1">
      <alignment vertical="top"/>
    </xf>
    <xf numFmtId="168" fontId="10" fillId="0" borderId="3" xfId="5" applyNumberFormat="1" applyFont="1" applyFill="1" applyBorder="1" applyAlignment="1" applyProtection="1">
      <alignment horizontal="right" vertical="top"/>
    </xf>
    <xf numFmtId="0" fontId="13" fillId="0" borderId="7" xfId="5" applyNumberFormat="1" applyFont="1" applyFill="1" applyBorder="1" applyAlignment="1" applyProtection="1">
      <alignment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10" fillId="0" borderId="0" xfId="5" applyNumberFormat="1" applyFill="1" applyBorder="1" applyAlignment="1" applyProtection="1">
      <alignment vertical="top"/>
    </xf>
    <xf numFmtId="167" fontId="10" fillId="0" borderId="7" xfId="5" applyNumberFormat="1" applyFont="1" applyFill="1" applyBorder="1" applyAlignment="1" applyProtection="1">
      <alignment vertical="top"/>
    </xf>
    <xf numFmtId="164" fontId="12" fillId="0" borderId="7" xfId="5" applyNumberFormat="1" applyFont="1" applyFill="1" applyBorder="1" applyAlignment="1" applyProtection="1">
      <alignment horizontal="right" vertical="top"/>
    </xf>
    <xf numFmtId="9" fontId="10" fillId="0" borderId="7" xfId="5" applyNumberFormat="1" applyFont="1" applyFill="1" applyBorder="1" applyAlignment="1" applyProtection="1">
      <alignment horizontal="center" vertical="top"/>
    </xf>
    <xf numFmtId="9" fontId="10" fillId="0" borderId="0" xfId="5" applyNumberFormat="1" applyFont="1" applyFill="1" applyBorder="1" applyAlignment="1" applyProtection="1">
      <alignment horizontal="center" vertical="top"/>
    </xf>
    <xf numFmtId="168" fontId="8" fillId="0" borderId="15" xfId="5" applyNumberFormat="1" applyFont="1" applyFill="1" applyBorder="1" applyAlignment="1" applyProtection="1">
      <alignment horizontal="right" vertical="top"/>
    </xf>
    <xf numFmtId="0" fontId="10" fillId="0" borderId="8" xfId="5" applyNumberFormat="1" applyFont="1" applyFill="1" applyBorder="1" applyAlignment="1" applyProtection="1">
      <alignment horizontal="center" vertical="top"/>
    </xf>
    <xf numFmtId="9" fontId="10" fillId="0" borderId="8" xfId="5" applyNumberFormat="1" applyFont="1" applyFill="1" applyBorder="1" applyAlignment="1" applyProtection="1">
      <alignment horizontal="center" vertical="top"/>
    </xf>
    <xf numFmtId="169" fontId="10" fillId="0" borderId="8" xfId="5" applyNumberFormat="1" applyFill="1" applyBorder="1" applyAlignment="1" applyProtection="1">
      <alignment horizontal="right" vertical="top"/>
    </xf>
    <xf numFmtId="3" fontId="10" fillId="0" borderId="8" xfId="5" applyNumberFormat="1" applyFont="1" applyFill="1" applyBorder="1" applyAlignment="1" applyProtection="1">
      <alignment horizontal="center" vertical="top"/>
    </xf>
    <xf numFmtId="0" fontId="10" fillId="0" borderId="8" xfId="5" applyNumberFormat="1" applyFill="1" applyBorder="1" applyAlignment="1" applyProtection="1">
      <alignment horizontal="center" vertical="top"/>
    </xf>
    <xf numFmtId="0" fontId="10" fillId="0" borderId="8" xfId="5" applyNumberFormat="1" applyFill="1" applyBorder="1" applyAlignment="1" applyProtection="1">
      <alignment vertical="top"/>
    </xf>
    <xf numFmtId="0" fontId="10" fillId="0" borderId="12" xfId="5" applyNumberFormat="1" applyFont="1" applyFill="1" applyBorder="1" applyAlignment="1" applyProtection="1">
      <alignment horizontal="center" vertical="top"/>
    </xf>
    <xf numFmtId="9" fontId="10" fillId="0" borderId="12" xfId="5" applyNumberFormat="1" applyFont="1" applyFill="1" applyBorder="1" applyAlignment="1" applyProtection="1">
      <alignment horizontal="center" vertical="top"/>
    </xf>
    <xf numFmtId="164" fontId="10" fillId="0" borderId="12" xfId="5" applyNumberFormat="1" applyFont="1" applyFill="1" applyBorder="1" applyAlignment="1" applyProtection="1">
      <alignment horizontal="right" vertical="top"/>
    </xf>
    <xf numFmtId="3" fontId="10" fillId="0" borderId="12" xfId="5" applyNumberFormat="1" applyFont="1" applyFill="1" applyBorder="1" applyAlignment="1" applyProtection="1">
      <alignment horizontal="center" vertical="top"/>
    </xf>
    <xf numFmtId="0" fontId="10" fillId="0" borderId="12" xfId="5" applyNumberFormat="1" applyFill="1" applyBorder="1" applyAlignment="1" applyProtection="1">
      <alignment vertical="top"/>
    </xf>
    <xf numFmtId="168" fontId="13" fillId="0" borderId="14" xfId="5" applyNumberFormat="1" applyFont="1" applyFill="1" applyBorder="1" applyAlignment="1" applyProtection="1">
      <alignment horizontal="right" vertical="top"/>
    </xf>
    <xf numFmtId="164" fontId="13" fillId="0" borderId="7" xfId="5" applyNumberFormat="1" applyFont="1" applyFill="1" applyBorder="1" applyAlignment="1" applyProtection="1">
      <alignment horizontal="right" vertical="top"/>
    </xf>
    <xf numFmtId="0" fontId="13" fillId="0" borderId="12" xfId="5" applyNumberFormat="1" applyFont="1" applyFill="1" applyBorder="1" applyAlignment="1" applyProtection="1">
      <alignment horizontal="center" vertical="top"/>
    </xf>
    <xf numFmtId="168" fontId="10" fillId="0" borderId="14" xfId="5" applyNumberFormat="1" applyFont="1" applyFill="1" applyBorder="1" applyAlignment="1" applyProtection="1">
      <alignment horizontal="right" vertical="top"/>
    </xf>
    <xf numFmtId="9" fontId="13" fillId="0" borderId="12" xfId="5" applyNumberFormat="1" applyFont="1" applyFill="1" applyBorder="1" applyAlignment="1" applyProtection="1">
      <alignment horizontal="center" vertical="top"/>
    </xf>
    <xf numFmtId="3" fontId="10" fillId="0" borderId="7" xfId="5" applyNumberFormat="1" applyFont="1" applyFill="1" applyBorder="1" applyAlignment="1" applyProtection="1">
      <alignment horizontal="center" vertical="top"/>
    </xf>
    <xf numFmtId="168" fontId="8" fillId="0" borderId="14" xfId="5" applyNumberFormat="1" applyFont="1" applyFill="1" applyBorder="1" applyAlignment="1" applyProtection="1">
      <alignment horizontal="right" vertical="top"/>
    </xf>
    <xf numFmtId="169" fontId="10" fillId="0" borderId="7" xfId="5" applyNumberFormat="1" applyFill="1" applyBorder="1" applyAlignment="1" applyProtection="1">
      <alignment horizontal="right" vertical="top"/>
    </xf>
    <xf numFmtId="0" fontId="10" fillId="0" borderId="7" xfId="5" applyNumberFormat="1" applyFill="1" applyBorder="1" applyAlignment="1" applyProtection="1">
      <alignment horizontal="center" vertical="top"/>
    </xf>
    <xf numFmtId="168" fontId="10" fillId="0" borderId="16" xfId="5" applyNumberFormat="1" applyFont="1" applyFill="1" applyBorder="1" applyAlignment="1" applyProtection="1">
      <alignment horizontal="right" vertical="top"/>
    </xf>
    <xf numFmtId="0" fontId="10" fillId="0" borderId="5" xfId="5" applyNumberFormat="1" applyFont="1" applyFill="1" applyBorder="1" applyAlignment="1" applyProtection="1">
      <alignment horizontal="center" vertical="top"/>
    </xf>
    <xf numFmtId="9" fontId="10" fillId="0" borderId="5" xfId="5" applyNumberFormat="1" applyFont="1" applyFill="1" applyBorder="1" applyAlignment="1" applyProtection="1">
      <alignment horizontal="center" vertical="top"/>
    </xf>
    <xf numFmtId="164" fontId="10" fillId="0" borderId="5" xfId="5" applyNumberFormat="1" applyFont="1" applyFill="1" applyBorder="1" applyAlignment="1" applyProtection="1">
      <alignment horizontal="right" vertical="top"/>
    </xf>
    <xf numFmtId="0" fontId="10" fillId="0" borderId="5" xfId="5" applyNumberFormat="1" applyFill="1" applyBorder="1" applyAlignment="1" applyProtection="1">
      <alignment horizontal="center" vertical="top"/>
    </xf>
    <xf numFmtId="168" fontId="10" fillId="0" borderId="17" xfId="5" applyNumberFormat="1" applyFill="1" applyBorder="1" applyAlignment="1" applyProtection="1">
      <alignment horizontal="center" vertical="top"/>
    </xf>
    <xf numFmtId="0" fontId="13" fillId="0" borderId="2" xfId="5" applyNumberFormat="1" applyFont="1" applyFill="1" applyBorder="1" applyAlignment="1" applyProtection="1">
      <alignment horizontal="center" vertical="top"/>
    </xf>
    <xf numFmtId="9" fontId="13" fillId="0" borderId="2" xfId="5" applyNumberFormat="1" applyFont="1" applyFill="1" applyBorder="1" applyAlignment="1" applyProtection="1">
      <alignment horizontal="center" vertical="top"/>
    </xf>
    <xf numFmtId="164" fontId="10" fillId="0" borderId="2" xfId="5" applyNumberFormat="1" applyFill="1" applyBorder="1" applyAlignment="1" applyProtection="1">
      <alignment horizontal="center" vertical="top"/>
    </xf>
    <xf numFmtId="0" fontId="10" fillId="0" borderId="2" xfId="5" applyNumberFormat="1" applyFill="1" applyBorder="1" applyAlignment="1" applyProtection="1">
      <alignment horizontal="center" vertical="top"/>
    </xf>
    <xf numFmtId="4" fontId="10" fillId="0" borderId="0" xfId="5" applyNumberFormat="1" applyFont="1" applyFill="1" applyBorder="1" applyAlignment="1" applyProtection="1">
      <alignment horizontal="center" vertical="top"/>
    </xf>
    <xf numFmtId="0" fontId="13" fillId="0" borderId="8" xfId="5" applyNumberFormat="1" applyFont="1" applyFill="1" applyBorder="1" applyAlignment="1" applyProtection="1">
      <alignment vertical="top"/>
    </xf>
    <xf numFmtId="0" fontId="13" fillId="0" borderId="7" xfId="5" applyNumberFormat="1" applyFont="1" applyFill="1" applyBorder="1" applyAlignment="1" applyProtection="1">
      <alignment horizontal="center" vertical="top"/>
    </xf>
    <xf numFmtId="0" fontId="13" fillId="0" borderId="5" xfId="5" applyNumberFormat="1" applyFont="1" applyFill="1" applyBorder="1" applyAlignment="1" applyProtection="1">
      <alignment horizontal="center" vertical="top"/>
    </xf>
    <xf numFmtId="168" fontId="10" fillId="0" borderId="17" xfId="5" applyNumberFormat="1" applyFill="1" applyBorder="1" applyAlignment="1" applyProtection="1">
      <alignment horizontal="center" vertical="center"/>
    </xf>
    <xf numFmtId="0" fontId="10" fillId="0" borderId="2" xfId="5" applyNumberFormat="1" applyFill="1" applyBorder="1" applyAlignment="1" applyProtection="1">
      <alignment horizontal="center" vertical="center"/>
    </xf>
    <xf numFmtId="9" fontId="13" fillId="0" borderId="2" xfId="5" applyNumberFormat="1" applyFont="1" applyFill="1" applyBorder="1" applyAlignment="1" applyProtection="1">
      <alignment horizontal="center" vertical="center"/>
    </xf>
    <xf numFmtId="164" fontId="10" fillId="0" borderId="2" xfId="5" applyNumberFormat="1" applyFill="1" applyBorder="1" applyAlignment="1" applyProtection="1">
      <alignment horizontal="center" vertical="center"/>
    </xf>
    <xf numFmtId="0" fontId="10" fillId="0" borderId="0" xfId="5" applyNumberFormat="1" applyFill="1" applyBorder="1" applyAlignment="1" applyProtection="1">
      <alignment horizontal="center" vertical="top"/>
    </xf>
    <xf numFmtId="164" fontId="13" fillId="0" borderId="12" xfId="5" applyNumberFormat="1" applyFont="1" applyFill="1" applyBorder="1" applyAlignment="1" applyProtection="1">
      <alignment horizontal="right" vertical="top"/>
    </xf>
    <xf numFmtId="168" fontId="13" fillId="0" borderId="18" xfId="5" applyNumberFormat="1" applyFont="1" applyFill="1" applyBorder="1" applyAlignment="1" applyProtection="1">
      <alignment horizontal="right" vertical="top"/>
    </xf>
    <xf numFmtId="3" fontId="10" fillId="0" borderId="5" xfId="5" applyNumberFormat="1" applyFont="1" applyFill="1" applyBorder="1" applyAlignment="1" applyProtection="1">
      <alignment horizontal="center" vertical="top"/>
    </xf>
    <xf numFmtId="168" fontId="15" fillId="0" borderId="15" xfId="5" applyNumberFormat="1" applyFont="1" applyFill="1" applyBorder="1" applyAlignment="1" applyProtection="1">
      <alignment horizontal="right" vertical="top"/>
    </xf>
    <xf numFmtId="0" fontId="10" fillId="0" borderId="13" xfId="5" applyNumberFormat="1" applyFill="1" applyBorder="1" applyAlignment="1" applyProtection="1">
      <alignment vertical="top"/>
    </xf>
    <xf numFmtId="0" fontId="13" fillId="0" borderId="13" xfId="5" applyNumberFormat="1" applyFont="1" applyFill="1" applyBorder="1" applyAlignment="1" applyProtection="1">
      <alignment horizontal="center" vertical="top"/>
    </xf>
    <xf numFmtId="3" fontId="10" fillId="0" borderId="13" xfId="5" applyNumberFormat="1" applyFont="1" applyFill="1" applyBorder="1" applyAlignment="1" applyProtection="1">
      <alignment horizontal="center" vertical="top"/>
    </xf>
    <xf numFmtId="164" fontId="13" fillId="0" borderId="13" xfId="5" applyNumberFormat="1" applyFont="1" applyFill="1" applyBorder="1" applyAlignment="1" applyProtection="1">
      <alignment horizontal="right" vertical="top"/>
    </xf>
    <xf numFmtId="9" fontId="10" fillId="0" borderId="13" xfId="5" applyNumberFormat="1" applyFont="1" applyFill="1" applyBorder="1" applyAlignment="1" applyProtection="1">
      <alignment horizontal="center" vertical="top"/>
    </xf>
    <xf numFmtId="0" fontId="10" fillId="0" borderId="13" xfId="5" applyNumberFormat="1" applyFont="1" applyFill="1" applyBorder="1" applyAlignment="1" applyProtection="1">
      <alignment horizontal="center" vertical="top"/>
    </xf>
    <xf numFmtId="168" fontId="13" fillId="0" borderId="19" xfId="5" applyNumberFormat="1" applyFont="1" applyFill="1" applyBorder="1" applyAlignment="1" applyProtection="1">
      <alignment horizontal="right" vertical="top"/>
    </xf>
    <xf numFmtId="168" fontId="10" fillId="0" borderId="15" xfId="5" applyNumberFormat="1" applyFont="1" applyFill="1" applyBorder="1" applyAlignment="1" applyProtection="1">
      <alignment horizontal="right" vertical="top"/>
    </xf>
    <xf numFmtId="0" fontId="10" fillId="0" borderId="13" xfId="5" applyNumberFormat="1" applyFill="1" applyBorder="1" applyAlignment="1" applyProtection="1">
      <alignment horizontal="center" vertical="top"/>
    </xf>
    <xf numFmtId="169" fontId="10" fillId="0" borderId="13" xfId="5" applyNumberFormat="1" applyFill="1" applyBorder="1" applyAlignment="1" applyProtection="1">
      <alignment horizontal="right" vertical="top"/>
    </xf>
    <xf numFmtId="168" fontId="15" fillId="0" borderId="19" xfId="5" applyNumberFormat="1" applyFont="1" applyFill="1" applyBorder="1" applyAlignment="1" applyProtection="1">
      <alignment horizontal="right" vertical="top"/>
    </xf>
    <xf numFmtId="169" fontId="10" fillId="0" borderId="8" xfId="5" applyNumberFormat="1" applyFont="1" applyFill="1" applyBorder="1" applyAlignment="1" applyProtection="1">
      <alignment horizontal="right" vertical="top"/>
    </xf>
    <xf numFmtId="0" fontId="11" fillId="0" borderId="13" xfId="5" applyNumberFormat="1" applyFont="1" applyFill="1" applyBorder="1" applyAlignment="1" applyProtection="1">
      <alignment vertical="top"/>
    </xf>
    <xf numFmtId="0" fontId="11" fillId="0" borderId="13" xfId="5" applyNumberFormat="1" applyFont="1" applyFill="1" applyBorder="1" applyAlignment="1" applyProtection="1">
      <alignment horizontal="center" vertical="top"/>
    </xf>
    <xf numFmtId="3" fontId="11" fillId="0" borderId="13" xfId="5" applyNumberFormat="1" applyFont="1" applyFill="1" applyBorder="1" applyAlignment="1" applyProtection="1">
      <alignment horizontal="center" vertical="top"/>
    </xf>
    <xf numFmtId="164" fontId="11" fillId="0" borderId="13" xfId="5" applyNumberFormat="1" applyFont="1" applyFill="1" applyBorder="1" applyAlignment="1" applyProtection="1">
      <alignment horizontal="right" vertical="top"/>
    </xf>
    <xf numFmtId="9" fontId="11" fillId="0" borderId="13" xfId="5" applyNumberFormat="1" applyFont="1" applyFill="1" applyBorder="1" applyAlignment="1" applyProtection="1">
      <alignment horizontal="center" vertical="top"/>
    </xf>
    <xf numFmtId="168" fontId="11" fillId="0" borderId="19" xfId="5" applyNumberFormat="1" applyFont="1" applyFill="1" applyBorder="1" applyAlignment="1" applyProtection="1">
      <alignment horizontal="right" vertical="top"/>
    </xf>
    <xf numFmtId="0" fontId="11" fillId="0" borderId="7" xfId="5" applyNumberFormat="1" applyFont="1" applyFill="1" applyBorder="1" applyAlignment="1" applyProtection="1">
      <alignment vertical="top"/>
    </xf>
    <xf numFmtId="0" fontId="11" fillId="0" borderId="7" xfId="5" applyNumberFormat="1" applyFont="1" applyFill="1" applyBorder="1" applyAlignment="1" applyProtection="1">
      <alignment horizontal="center" vertical="top"/>
    </xf>
    <xf numFmtId="3" fontId="11" fillId="0" borderId="7" xfId="5" applyNumberFormat="1" applyFont="1" applyFill="1" applyBorder="1" applyAlignment="1" applyProtection="1">
      <alignment horizontal="center" vertical="top"/>
    </xf>
    <xf numFmtId="164" fontId="11" fillId="0" borderId="7" xfId="5" applyNumberFormat="1" applyFont="1" applyFill="1" applyBorder="1" applyAlignment="1" applyProtection="1">
      <alignment horizontal="right" vertical="top"/>
    </xf>
    <xf numFmtId="9" fontId="11" fillId="0" borderId="7" xfId="5" applyNumberFormat="1" applyFont="1" applyFill="1" applyBorder="1" applyAlignment="1" applyProtection="1">
      <alignment horizontal="center" vertical="top"/>
    </xf>
    <xf numFmtId="168" fontId="11" fillId="0" borderId="7" xfId="5" applyNumberFormat="1" applyFont="1" applyFill="1" applyBorder="1" applyAlignment="1" applyProtection="1">
      <alignment horizontal="right" vertical="top"/>
    </xf>
    <xf numFmtId="4" fontId="12" fillId="6" borderId="7" xfId="5" applyNumberFormat="1" applyFont="1" applyFill="1" applyBorder="1" applyAlignment="1" applyProtection="1">
      <alignment vertical="top"/>
    </xf>
    <xf numFmtId="166" fontId="18" fillId="0" borderId="7" xfId="3" applyNumberFormat="1" applyFont="1" applyFill="1" applyBorder="1" applyAlignment="1" applyProtection="1">
      <alignment horizontal="center" vertical="center"/>
    </xf>
    <xf numFmtId="0" fontId="19" fillId="0" borderId="5" xfId="3" applyNumberFormat="1" applyFont="1" applyFill="1" applyBorder="1" applyAlignment="1" applyProtection="1">
      <alignment horizontal="center" vertical="center"/>
    </xf>
    <xf numFmtId="165" fontId="18" fillId="0" borderId="6" xfId="3" applyNumberFormat="1" applyFont="1" applyFill="1" applyBorder="1" applyAlignment="1" applyProtection="1">
      <alignment horizontal="center" vertical="center"/>
    </xf>
    <xf numFmtId="0" fontId="18" fillId="0" borderId="34" xfId="3" applyNumberFormat="1" applyFont="1" applyFill="1" applyBorder="1" applyAlignment="1" applyProtection="1">
      <alignment horizontal="center" vertical="center" wrapText="1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7" fillId="0" borderId="26" xfId="3" applyNumberFormat="1" applyFont="1" applyFill="1" applyBorder="1" applyAlignment="1" applyProtection="1">
      <alignment horizontal="center" vertical="center"/>
    </xf>
    <xf numFmtId="166" fontId="18" fillId="0" borderId="16" xfId="3" applyNumberFormat="1" applyFont="1" applyFill="1" applyBorder="1" applyAlignment="1" applyProtection="1">
      <alignment horizontal="center" vertical="center"/>
    </xf>
    <xf numFmtId="0" fontId="1" fillId="0" borderId="28" xfId="0" applyNumberFormat="1" applyFont="1" applyFill="1" applyBorder="1" applyAlignment="1" applyProtection="1">
      <alignment horizontal="center" vertical="top"/>
    </xf>
    <xf numFmtId="0" fontId="1" fillId="0" borderId="9" xfId="0" applyNumberFormat="1" applyFont="1" applyFill="1" applyBorder="1" applyAlignment="1" applyProtection="1">
      <alignment horizontal="center" vertical="top"/>
    </xf>
    <xf numFmtId="166" fontId="18" fillId="0" borderId="8" xfId="3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4" fillId="0" borderId="37" xfId="0" applyNumberFormat="1" applyFont="1" applyFill="1" applyBorder="1" applyAlignment="1" applyProtection="1">
      <alignment vertical="center"/>
    </xf>
    <xf numFmtId="166" fontId="1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right" vertical="top"/>
    </xf>
    <xf numFmtId="0" fontId="23" fillId="0" borderId="0" xfId="0" applyNumberFormat="1" applyFont="1" applyFill="1" applyBorder="1" applyAlignment="1" applyProtection="1">
      <alignment vertical="top"/>
    </xf>
    <xf numFmtId="0" fontId="20" fillId="0" borderId="0" xfId="2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/>
    </xf>
    <xf numFmtId="165" fontId="21" fillId="0" borderId="7" xfId="3" applyNumberFormat="1" applyFont="1" applyFill="1" applyBorder="1" applyAlignment="1" applyProtection="1">
      <alignment horizontal="center" vertical="center" wrapText="1"/>
    </xf>
    <xf numFmtId="165" fontId="24" fillId="0" borderId="25" xfId="3" applyNumberFormat="1" applyFont="1" applyFill="1" applyBorder="1" applyAlignment="1" applyProtection="1">
      <alignment horizontal="center" vertical="center" wrapText="1"/>
    </xf>
    <xf numFmtId="165" fontId="24" fillId="0" borderId="27" xfId="3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0" fontId="21" fillId="9" borderId="7" xfId="3" applyNumberFormat="1" applyFont="1" applyFill="1" applyBorder="1" applyAlignment="1" applyProtection="1">
      <alignment horizontal="center" vertical="center"/>
    </xf>
    <xf numFmtId="3" fontId="21" fillId="9" borderId="7" xfId="3" applyNumberFormat="1" applyFont="1" applyFill="1" applyBorder="1" applyAlignment="1" applyProtection="1">
      <alignment horizontal="center" vertical="center"/>
    </xf>
    <xf numFmtId="0" fontId="21" fillId="9" borderId="7" xfId="3" applyNumberFormat="1" applyFont="1" applyFill="1" applyBorder="1" applyAlignment="1" applyProtection="1">
      <alignment horizontal="left" vertical="center"/>
    </xf>
    <xf numFmtId="165" fontId="21" fillId="9" borderId="7" xfId="3" applyNumberFormat="1" applyFont="1" applyFill="1" applyBorder="1" applyAlignment="1" applyProtection="1">
      <alignment horizontal="center" vertical="center"/>
    </xf>
    <xf numFmtId="166" fontId="21" fillId="9" borderId="7" xfId="3" applyNumberFormat="1" applyFont="1" applyFill="1" applyBorder="1" applyAlignment="1" applyProtection="1">
      <alignment horizontal="center" vertical="center"/>
    </xf>
    <xf numFmtId="165" fontId="22" fillId="9" borderId="25" xfId="3" applyNumberFormat="1" applyFont="1" applyFill="1" applyBorder="1" applyAlignment="1" applyProtection="1">
      <alignment horizontal="center" vertical="center"/>
    </xf>
    <xf numFmtId="165" fontId="22" fillId="9" borderId="27" xfId="3" applyNumberFormat="1" applyFont="1" applyFill="1" applyBorder="1" applyAlignment="1" applyProtection="1">
      <alignment horizontal="center" vertical="center"/>
    </xf>
    <xf numFmtId="166" fontId="21" fillId="9" borderId="7" xfId="0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/>
    </xf>
    <xf numFmtId="3" fontId="21" fillId="7" borderId="7" xfId="3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 wrapText="1"/>
    </xf>
    <xf numFmtId="165" fontId="21" fillId="7" borderId="7" xfId="3" applyNumberFormat="1" applyFont="1" applyFill="1" applyBorder="1" applyAlignment="1" applyProtection="1">
      <alignment horizontal="center" vertical="center"/>
    </xf>
    <xf numFmtId="166" fontId="21" fillId="7" borderId="7" xfId="3" applyNumberFormat="1" applyFont="1" applyFill="1" applyBorder="1" applyAlignment="1" applyProtection="1">
      <alignment horizontal="center" vertical="center"/>
    </xf>
    <xf numFmtId="165" fontId="22" fillId="7" borderId="23" xfId="3" applyNumberFormat="1" applyFont="1" applyFill="1" applyBorder="1" applyAlignment="1" applyProtection="1">
      <alignment horizontal="center" vertical="center"/>
    </xf>
    <xf numFmtId="165" fontId="22" fillId="7" borderId="38" xfId="3" applyNumberFormat="1" applyFont="1" applyFill="1" applyBorder="1" applyAlignment="1" applyProtection="1">
      <alignment horizontal="center" vertical="center"/>
    </xf>
    <xf numFmtId="166" fontId="21" fillId="7" borderId="7" xfId="0" applyNumberFormat="1" applyFont="1" applyFill="1" applyBorder="1" applyAlignment="1" applyProtection="1">
      <alignment horizontal="center" vertical="center"/>
    </xf>
    <xf numFmtId="49" fontId="20" fillId="0" borderId="7" xfId="3" applyNumberFormat="1" applyFont="1" applyFill="1" applyBorder="1" applyAlignment="1" applyProtection="1">
      <alignment horizontal="left" vertical="center"/>
    </xf>
    <xf numFmtId="3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 wrapText="1"/>
    </xf>
    <xf numFmtId="165" fontId="20" fillId="0" borderId="7" xfId="3" applyNumberFormat="1" applyFont="1" applyFill="1" applyBorder="1" applyAlignment="1" applyProtection="1">
      <alignment horizontal="center" vertical="center"/>
    </xf>
    <xf numFmtId="166" fontId="20" fillId="0" borderId="7" xfId="3" applyNumberFormat="1" applyFont="1" applyFill="1" applyBorder="1" applyAlignment="1" applyProtection="1">
      <alignment horizontal="center" vertical="center"/>
    </xf>
    <xf numFmtId="165" fontId="20" fillId="0" borderId="35" xfId="3" applyNumberFormat="1" applyFont="1" applyFill="1" applyBorder="1" applyAlignment="1" applyProtection="1">
      <alignment horizontal="center" vertical="center"/>
    </xf>
    <xf numFmtId="165" fontId="20" fillId="0" borderId="34" xfId="3" applyNumberFormat="1" applyFont="1" applyFill="1" applyBorder="1" applyAlignment="1" applyProtection="1">
      <alignment horizontal="center" vertical="center"/>
    </xf>
    <xf numFmtId="166" fontId="20" fillId="0" borderId="7" xfId="0" applyNumberFormat="1" applyFont="1" applyFill="1" applyBorder="1" applyAlignment="1" applyProtection="1">
      <alignment horizontal="center" vertical="center"/>
    </xf>
    <xf numFmtId="165" fontId="20" fillId="0" borderId="30" xfId="3" applyNumberFormat="1" applyFont="1" applyFill="1" applyBorder="1" applyAlignment="1" applyProtection="1">
      <alignment horizontal="center" vertical="center"/>
    </xf>
    <xf numFmtId="165" fontId="20" fillId="0" borderId="20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center"/>
    </xf>
    <xf numFmtId="166" fontId="21" fillId="0" borderId="7" xfId="0" applyNumberFormat="1" applyFont="1" applyFill="1" applyBorder="1" applyAlignment="1" applyProtection="1">
      <alignment horizontal="center" vertical="center"/>
    </xf>
    <xf numFmtId="165" fontId="22" fillId="7" borderId="25" xfId="3" applyNumberFormat="1" applyFont="1" applyFill="1" applyBorder="1" applyAlignment="1" applyProtection="1">
      <alignment horizontal="center" vertical="center"/>
    </xf>
    <xf numFmtId="165" fontId="22" fillId="7" borderId="24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/>
    </xf>
    <xf numFmtId="166" fontId="20" fillId="7" borderId="7" xfId="0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/>
    </xf>
    <xf numFmtId="0" fontId="20" fillId="8" borderId="7" xfId="3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 wrapText="1"/>
    </xf>
    <xf numFmtId="0" fontId="20" fillId="0" borderId="7" xfId="3" applyNumberFormat="1" applyFont="1" applyFill="1" applyBorder="1" applyAlignment="1" applyProtection="1">
      <alignment horizontal="center" vertical="center"/>
    </xf>
    <xf numFmtId="165" fontId="21" fillId="2" borderId="7" xfId="3" applyNumberFormat="1" applyFont="1" applyFill="1" applyBorder="1" applyAlignment="1" applyProtection="1">
      <alignment horizontal="center" vertical="center"/>
    </xf>
    <xf numFmtId="165" fontId="20" fillId="5" borderId="7" xfId="3" applyNumberFormat="1" applyFont="1" applyFill="1" applyBorder="1" applyAlignment="1" applyProtection="1">
      <alignment horizontal="center" vertical="center"/>
    </xf>
    <xf numFmtId="165" fontId="21" fillId="7" borderId="21" xfId="3" applyNumberFormat="1" applyFont="1" applyFill="1" applyBorder="1" applyAlignment="1" applyProtection="1">
      <alignment horizontal="center" vertical="center"/>
    </xf>
    <xf numFmtId="165" fontId="21" fillId="7" borderId="22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/>
    </xf>
    <xf numFmtId="3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 wrapText="1"/>
    </xf>
    <xf numFmtId="49" fontId="20" fillId="5" borderId="7" xfId="3" applyNumberFormat="1" applyFont="1" applyFill="1" applyBorder="1" applyAlignment="1" applyProtection="1">
      <alignment horizontal="left" vertical="center"/>
    </xf>
    <xf numFmtId="0" fontId="20" fillId="5" borderId="7" xfId="3" applyNumberFormat="1" applyFont="1" applyFill="1" applyBorder="1" applyAlignment="1" applyProtection="1">
      <alignment horizontal="center" vertical="center"/>
    </xf>
    <xf numFmtId="0" fontId="20" fillId="5" borderId="7" xfId="3" applyNumberFormat="1" applyFont="1" applyFill="1" applyBorder="1" applyAlignment="1" applyProtection="1">
      <alignment horizontal="left" vertical="center" wrapText="1"/>
    </xf>
    <xf numFmtId="0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vertical="center" wrapText="1"/>
    </xf>
    <xf numFmtId="166" fontId="21" fillId="2" borderId="7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/>
    </xf>
    <xf numFmtId="49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vertical="center" wrapText="1"/>
    </xf>
    <xf numFmtId="0" fontId="20" fillId="0" borderId="7" xfId="3" applyNumberFormat="1" applyFont="1" applyFill="1" applyBorder="1" applyAlignment="1" applyProtection="1">
      <alignment vertical="top" wrapText="1"/>
    </xf>
    <xf numFmtId="165" fontId="21" fillId="0" borderId="7" xfId="3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165" fontId="20" fillId="7" borderId="7" xfId="3" applyNumberFormat="1" applyFont="1" applyFill="1" applyBorder="1" applyAlignment="1" applyProtection="1">
      <alignment horizontal="center" vertical="center"/>
    </xf>
    <xf numFmtId="165" fontId="21" fillId="7" borderId="25" xfId="3" applyNumberFormat="1" applyFont="1" applyFill="1" applyBorder="1" applyAlignment="1" applyProtection="1">
      <alignment horizontal="center" vertical="center"/>
    </xf>
    <xf numFmtId="165" fontId="21" fillId="7" borderId="24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top" wrapText="1"/>
    </xf>
    <xf numFmtId="165" fontId="21" fillId="4" borderId="7" xfId="3" applyNumberFormat="1" applyFont="1" applyFill="1" applyBorder="1" applyAlignment="1" applyProtection="1">
      <alignment horizontal="center" vertical="center"/>
    </xf>
    <xf numFmtId="165" fontId="20" fillId="0" borderId="29" xfId="3" applyNumberFormat="1" applyFont="1" applyFill="1" applyBorder="1" applyAlignment="1" applyProtection="1">
      <alignment horizontal="center" vertical="center"/>
    </xf>
    <xf numFmtId="165" fontId="20" fillId="0" borderId="21" xfId="3" applyNumberFormat="1" applyFont="1" applyFill="1" applyBorder="1" applyAlignment="1" applyProtection="1">
      <alignment horizontal="center" vertical="center"/>
    </xf>
    <xf numFmtId="165" fontId="20" fillId="0" borderId="22" xfId="3" applyNumberFormat="1" applyFont="1" applyFill="1" applyBorder="1" applyAlignment="1" applyProtection="1">
      <alignment horizontal="center" vertical="center"/>
    </xf>
    <xf numFmtId="165" fontId="20" fillId="9" borderId="7" xfId="3" applyNumberFormat="1" applyFont="1" applyFill="1" applyBorder="1" applyAlignment="1" applyProtection="1">
      <alignment horizontal="center" vertical="center"/>
    </xf>
    <xf numFmtId="165" fontId="21" fillId="9" borderId="25" xfId="3" applyNumberFormat="1" applyFont="1" applyFill="1" applyBorder="1" applyAlignment="1" applyProtection="1">
      <alignment horizontal="center" vertical="center"/>
    </xf>
    <xf numFmtId="165" fontId="21" fillId="9" borderId="24" xfId="3" applyNumberFormat="1" applyFont="1" applyFill="1" applyBorder="1" applyAlignment="1" applyProtection="1">
      <alignment horizontal="center" vertical="center"/>
    </xf>
    <xf numFmtId="165" fontId="21" fillId="7" borderId="23" xfId="3" applyNumberFormat="1" applyFont="1" applyFill="1" applyBorder="1" applyAlignment="1" applyProtection="1">
      <alignment horizontal="center" vertical="center"/>
    </xf>
    <xf numFmtId="165" fontId="21" fillId="7" borderId="39" xfId="3" applyNumberFormat="1" applyFont="1" applyFill="1" applyBorder="1" applyAlignment="1" applyProtection="1">
      <alignment horizontal="center" vertical="center"/>
    </xf>
    <xf numFmtId="165" fontId="21" fillId="0" borderId="29" xfId="3" applyNumberFormat="1" applyFont="1" applyFill="1" applyBorder="1" applyAlignment="1" applyProtection="1">
      <alignment horizontal="center" vertical="center"/>
    </xf>
    <xf numFmtId="165" fontId="21" fillId="0" borderId="34" xfId="3" applyNumberFormat="1" applyFont="1" applyFill="1" applyBorder="1" applyAlignment="1" applyProtection="1">
      <alignment horizontal="center" vertical="center"/>
    </xf>
    <xf numFmtId="165" fontId="21" fillId="0" borderId="21" xfId="3" applyNumberFormat="1" applyFont="1" applyFill="1" applyBorder="1" applyAlignment="1" applyProtection="1">
      <alignment horizontal="center" vertical="center"/>
    </xf>
    <xf numFmtId="165" fontId="21" fillId="0" borderId="22" xfId="3" applyNumberFormat="1" applyFont="1" applyFill="1" applyBorder="1" applyAlignment="1" applyProtection="1">
      <alignment horizontal="center" vertical="center"/>
    </xf>
    <xf numFmtId="165" fontId="20" fillId="2" borderId="7" xfId="3" applyNumberFormat="1" applyFont="1" applyFill="1" applyBorder="1" applyAlignment="1" applyProtection="1">
      <alignment horizontal="center" vertical="center"/>
    </xf>
    <xf numFmtId="165" fontId="20" fillId="0" borderId="33" xfId="3" applyNumberFormat="1" applyFont="1" applyFill="1" applyBorder="1" applyAlignment="1" applyProtection="1">
      <alignment horizontal="center" vertical="center"/>
    </xf>
    <xf numFmtId="165" fontId="20" fillId="0" borderId="31" xfId="3" applyNumberFormat="1" applyFont="1" applyFill="1" applyBorder="1" applyAlignment="1" applyProtection="1">
      <alignment horizontal="center" vertical="center"/>
    </xf>
    <xf numFmtId="49" fontId="21" fillId="0" borderId="7" xfId="3" applyNumberFormat="1" applyFont="1" applyFill="1" applyBorder="1" applyAlignment="1" applyProtection="1">
      <alignment horizontal="left" vertical="center"/>
    </xf>
    <xf numFmtId="3" fontId="21" fillId="0" borderId="7" xfId="3" applyNumberFormat="1" applyFont="1" applyFill="1" applyBorder="1" applyAlignment="1" applyProtection="1">
      <alignment horizontal="center" vertical="center"/>
    </xf>
    <xf numFmtId="0" fontId="21" fillId="0" borderId="7" xfId="3" applyNumberFormat="1" applyFont="1" applyFill="1" applyBorder="1" applyAlignment="1" applyProtection="1">
      <alignment horizontal="left" vertical="center" wrapText="1"/>
    </xf>
    <xf numFmtId="166" fontId="20" fillId="5" borderId="7" xfId="3" applyNumberFormat="1" applyFont="1" applyFill="1" applyBorder="1" applyAlignment="1" applyProtection="1">
      <alignment horizontal="center" vertical="center"/>
    </xf>
    <xf numFmtId="165" fontId="20" fillId="5" borderId="29" xfId="3" applyNumberFormat="1" applyFont="1" applyFill="1" applyBorder="1" applyAlignment="1" applyProtection="1">
      <alignment horizontal="center" vertical="center"/>
    </xf>
    <xf numFmtId="165" fontId="20" fillId="5" borderId="34" xfId="3" applyNumberFormat="1" applyFont="1" applyFill="1" applyBorder="1" applyAlignment="1" applyProtection="1">
      <alignment horizontal="center" vertical="center"/>
    </xf>
    <xf numFmtId="165" fontId="21" fillId="5" borderId="36" xfId="3" applyNumberFormat="1" applyFont="1" applyFill="1" applyBorder="1" applyAlignment="1" applyProtection="1">
      <alignment horizontal="center" vertical="center"/>
    </xf>
    <xf numFmtId="165" fontId="21" fillId="5" borderId="27" xfId="3" applyNumberFormat="1" applyFont="1" applyFill="1" applyBorder="1" applyAlignment="1" applyProtection="1">
      <alignment horizontal="center" vertical="center"/>
    </xf>
    <xf numFmtId="165" fontId="20" fillId="5" borderId="21" xfId="3" applyNumberFormat="1" applyFont="1" applyFill="1" applyBorder="1" applyAlignment="1" applyProtection="1">
      <alignment horizontal="center" vertical="center"/>
    </xf>
    <xf numFmtId="165" fontId="20" fillId="5" borderId="22" xfId="3" applyNumberFormat="1" applyFont="1" applyFill="1" applyBorder="1" applyAlignment="1" applyProtection="1">
      <alignment horizontal="center" vertical="center"/>
    </xf>
    <xf numFmtId="0" fontId="25" fillId="0" borderId="7" xfId="0" applyNumberFormat="1" applyFont="1" applyFill="1" applyBorder="1" applyAlignment="1" applyProtection="1">
      <alignment horizontal="left" vertical="top" wrapText="1"/>
    </xf>
    <xf numFmtId="166" fontId="18" fillId="0" borderId="29" xfId="3" applyNumberFormat="1" applyFont="1" applyFill="1" applyBorder="1" applyAlignment="1" applyProtection="1">
      <alignment horizontal="center" vertical="center"/>
    </xf>
    <xf numFmtId="166" fontId="18" fillId="0" borderId="34" xfId="3" applyNumberFormat="1" applyFont="1" applyFill="1" applyBorder="1" applyAlignment="1" applyProtection="1">
      <alignment horizontal="center" vertical="center"/>
    </xf>
    <xf numFmtId="165" fontId="21" fillId="0" borderId="25" xfId="3" applyNumberFormat="1" applyFont="1" applyFill="1" applyBorder="1" applyAlignment="1" applyProtection="1">
      <alignment horizontal="center" vertical="center"/>
    </xf>
    <xf numFmtId="165" fontId="21" fillId="0" borderId="24" xfId="3" applyNumberFormat="1" applyFont="1" applyFill="1" applyBorder="1" applyAlignment="1" applyProtection="1">
      <alignment horizontal="center" vertical="center"/>
    </xf>
    <xf numFmtId="166" fontId="21" fillId="0" borderId="7" xfId="3" applyNumberFormat="1" applyFont="1" applyFill="1" applyBorder="1" applyAlignment="1" applyProtection="1">
      <alignment horizontal="center" vertical="center"/>
    </xf>
    <xf numFmtId="165" fontId="21" fillId="5" borderId="7" xfId="3" applyNumberFormat="1" applyFont="1" applyFill="1" applyBorder="1" applyAlignment="1" applyProtection="1">
      <alignment horizontal="center" vertical="center"/>
    </xf>
    <xf numFmtId="165" fontId="21" fillId="5" borderId="29" xfId="3" applyNumberFormat="1" applyFont="1" applyFill="1" applyBorder="1" applyAlignment="1" applyProtection="1">
      <alignment horizontal="center" vertical="center"/>
    </xf>
    <xf numFmtId="165" fontId="21" fillId="5" borderId="34" xfId="3" applyNumberFormat="1" applyFont="1" applyFill="1" applyBorder="1" applyAlignment="1" applyProtection="1">
      <alignment horizontal="center" vertical="center"/>
    </xf>
    <xf numFmtId="165" fontId="20" fillId="0" borderId="32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top"/>
    </xf>
    <xf numFmtId="0" fontId="21" fillId="0" borderId="7" xfId="3" applyNumberFormat="1" applyFont="1" applyFill="1" applyBorder="1" applyAlignment="1" applyProtection="1">
      <alignment horizontal="center" vertical="top"/>
    </xf>
    <xf numFmtId="0" fontId="21" fillId="0" borderId="7" xfId="3" applyNumberFormat="1" applyFont="1" applyFill="1" applyBorder="1" applyAlignment="1" applyProtection="1">
      <alignment horizontal="left" vertical="top"/>
    </xf>
    <xf numFmtId="166" fontId="18" fillId="0" borderId="25" xfId="3" applyNumberFormat="1" applyFont="1" applyFill="1" applyBorder="1" applyAlignment="1" applyProtection="1">
      <alignment horizontal="center" vertical="center"/>
    </xf>
    <xf numFmtId="166" fontId="18" fillId="0" borderId="27" xfId="3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vertical="top"/>
      <protection locked="0"/>
    </xf>
    <xf numFmtId="0" fontId="20" fillId="0" borderId="0" xfId="0" applyNumberFormat="1" applyFont="1" applyFill="1" applyBorder="1" applyAlignment="1" applyProtection="1">
      <alignment horizontal="center" vertical="top"/>
      <protection hidden="1"/>
    </xf>
    <xf numFmtId="0" fontId="20" fillId="0" borderId="0" xfId="0" applyNumberFormat="1" applyFont="1" applyFill="1" applyBorder="1" applyAlignment="1" applyProtection="1">
      <alignment horizontal="left" vertical="top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0" fontId="24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7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center" vertical="center"/>
      <protection hidden="1"/>
    </xf>
    <xf numFmtId="49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NumberFormat="1" applyFont="1" applyFill="1" applyBorder="1" applyAlignment="1" applyProtection="1">
      <alignment horizontal="left" vertical="top"/>
    </xf>
    <xf numFmtId="0" fontId="29" fillId="0" borderId="0" xfId="0" applyNumberFormat="1" applyFont="1" applyFill="1" applyBorder="1" applyAlignment="1" applyProtection="1">
      <alignment horizontal="right" vertical="top" wrapText="1"/>
    </xf>
    <xf numFmtId="166" fontId="24" fillId="0" borderId="7" xfId="0" applyNumberFormat="1" applyFont="1" applyFill="1" applyBorder="1" applyAlignment="1" applyProtection="1">
      <alignment horizontal="center" vertical="center" wrapText="1"/>
    </xf>
    <xf numFmtId="166" fontId="24" fillId="0" borderId="7" xfId="0" applyNumberFormat="1" applyFont="1" applyFill="1" applyBorder="1" applyAlignment="1" applyProtection="1">
      <alignment horizontal="center" vertical="center"/>
    </xf>
    <xf numFmtId="166" fontId="30" fillId="0" borderId="7" xfId="0" applyNumberFormat="1" applyFont="1" applyFill="1" applyBorder="1" applyAlignment="1" applyProtection="1">
      <alignment horizontal="center" vertical="center"/>
    </xf>
    <xf numFmtId="166" fontId="4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49" fontId="27" fillId="0" borderId="4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7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7" xfId="0" applyFont="1" applyFill="1" applyBorder="1" applyAlignment="1">
      <alignment horizontal="left" vertical="center" wrapText="1"/>
    </xf>
    <xf numFmtId="49" fontId="27" fillId="0" borderId="7" xfId="0" applyNumberFormat="1" applyFont="1" applyFill="1" applyBorder="1" applyAlignment="1" applyProtection="1">
      <alignment horizontal="center" vertical="center"/>
      <protection hidden="1"/>
    </xf>
    <xf numFmtId="49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4" fillId="0" borderId="2" xfId="0" applyNumberFormat="1" applyFont="1" applyFill="1" applyBorder="1" applyAlignment="1" applyProtection="1">
      <alignment horizontal="center" vertical="center"/>
      <protection hidden="1"/>
    </xf>
    <xf numFmtId="49" fontId="28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7" xfId="3" applyNumberFormat="1" applyFont="1" applyFill="1" applyBorder="1" applyAlignment="1" applyProtection="1">
      <alignment horizontal="left" vertical="center"/>
    </xf>
    <xf numFmtId="0" fontId="21" fillId="0" borderId="7" xfId="3" applyNumberFormat="1" applyFont="1" applyFill="1" applyBorder="1" applyAlignment="1" applyProtection="1">
      <alignment vertical="center" wrapText="1"/>
    </xf>
    <xf numFmtId="49" fontId="2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NumberFormat="1" applyFont="1" applyFill="1" applyBorder="1" applyAlignment="1" applyProtection="1">
      <alignment vertical="center" wrapText="1"/>
    </xf>
    <xf numFmtId="49" fontId="27" fillId="0" borderId="43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45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0" xfId="0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 applyProtection="1">
      <alignment vertical="center"/>
    </xf>
    <xf numFmtId="49" fontId="27" fillId="0" borderId="7" xfId="7" applyNumberFormat="1" applyFont="1" applyFill="1" applyBorder="1" applyAlignment="1" applyProtection="1">
      <alignment horizontal="center" vertical="center"/>
    </xf>
    <xf numFmtId="49" fontId="28" fillId="0" borderId="7" xfId="7" applyNumberFormat="1" applyFont="1" applyFill="1" applyBorder="1" applyAlignment="1" applyProtection="1">
      <alignment horizontal="center" vertical="center"/>
    </xf>
    <xf numFmtId="49" fontId="28" fillId="0" borderId="12" xfId="7" applyNumberFormat="1" applyFont="1" applyFill="1" applyBorder="1" applyAlignment="1" applyProtection="1">
      <alignment horizontal="center" vertical="center"/>
    </xf>
    <xf numFmtId="49" fontId="27" fillId="0" borderId="12" xfId="7" applyNumberFormat="1" applyFont="1" applyFill="1" applyBorder="1" applyAlignment="1" applyProtection="1">
      <alignment horizontal="center" vertical="center"/>
    </xf>
    <xf numFmtId="165" fontId="24" fillId="0" borderId="7" xfId="8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2" fillId="0" borderId="0" xfId="0" applyNumberFormat="1" applyFont="1" applyFill="1" applyBorder="1" applyAlignment="1" applyProtection="1">
      <alignment horizontal="right" vertical="top"/>
    </xf>
    <xf numFmtId="0" fontId="22" fillId="0" borderId="0" xfId="0" applyNumberFormat="1" applyFont="1" applyFill="1" applyBorder="1" applyAlignment="1" applyProtection="1">
      <alignment horizontal="right" vertical="center"/>
    </xf>
    <xf numFmtId="165" fontId="21" fillId="0" borderId="7" xfId="8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NumberFormat="1" applyFont="1" applyFill="1" applyBorder="1" applyAlignment="1" applyProtection="1">
      <alignment vertical="top"/>
    </xf>
    <xf numFmtId="166" fontId="24" fillId="0" borderId="7" xfId="3" applyNumberFormat="1" applyFont="1" applyFill="1" applyBorder="1" applyAlignment="1" applyProtection="1">
      <alignment horizontal="center" vertical="center"/>
    </xf>
    <xf numFmtId="166" fontId="30" fillId="0" borderId="7" xfId="3" applyNumberFormat="1" applyFont="1" applyFill="1" applyBorder="1" applyAlignment="1" applyProtection="1">
      <alignment horizontal="center" vertical="center"/>
    </xf>
    <xf numFmtId="4" fontId="30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0" fontId="2" fillId="0" borderId="7" xfId="0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right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49" fontId="21" fillId="0" borderId="7" xfId="3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top"/>
    </xf>
    <xf numFmtId="0" fontId="24" fillId="0" borderId="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</xf>
    <xf numFmtId="165" fontId="21" fillId="0" borderId="17" xfId="8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right" wrapText="1"/>
    </xf>
    <xf numFmtId="0" fontId="23" fillId="0" borderId="0" xfId="0" applyNumberFormat="1" applyFont="1" applyFill="1" applyBorder="1" applyAlignment="1" applyProtection="1">
      <alignment horizontal="right" vertical="top"/>
    </xf>
    <xf numFmtId="0" fontId="28" fillId="0" borderId="0" xfId="0" applyNumberFormat="1" applyFont="1" applyFill="1" applyBorder="1" applyAlignment="1" applyProtection="1">
      <alignment vertical="center"/>
    </xf>
    <xf numFmtId="0" fontId="20" fillId="0" borderId="7" xfId="0" applyNumberFormat="1" applyFont="1" applyFill="1" applyBorder="1" applyAlignment="1" applyProtection="1">
      <alignment horizontal="center" vertical="center"/>
    </xf>
    <xf numFmtId="0" fontId="24" fillId="0" borderId="7" xfId="0" applyNumberFormat="1" applyFont="1" applyFill="1" applyBorder="1" applyAlignment="1" applyProtection="1">
      <alignment horizontal="left" vertical="center" wrapText="1"/>
    </xf>
    <xf numFmtId="49" fontId="27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7" applyNumberFormat="1" applyFont="1" applyFill="1" applyBorder="1" applyAlignment="1" applyProtection="1">
      <alignment horizontal="justify" vertical="top"/>
    </xf>
    <xf numFmtId="169" fontId="21" fillId="0" borderId="16" xfId="0" applyNumberFormat="1" applyFont="1" applyFill="1" applyBorder="1" applyAlignment="1" applyProtection="1">
      <alignment horizontal="center" vertical="center"/>
    </xf>
    <xf numFmtId="49" fontId="27" fillId="0" borderId="10" xfId="7" applyNumberFormat="1" applyFont="1" applyFill="1" applyBorder="1" applyAlignment="1" applyProtection="1">
      <alignment horizontal="left" vertical="center" wrapText="1"/>
    </xf>
    <xf numFmtId="49" fontId="28" fillId="0" borderId="10" xfId="7" applyNumberFormat="1" applyFont="1" applyFill="1" applyBorder="1" applyAlignment="1" applyProtection="1">
      <alignment horizontal="justify" vertical="center"/>
    </xf>
    <xf numFmtId="49" fontId="28" fillId="0" borderId="10" xfId="7" applyNumberFormat="1" applyFont="1" applyFill="1" applyBorder="1" applyAlignment="1" applyProtection="1">
      <alignment horizontal="justify" vertical="center" wrapText="1"/>
    </xf>
    <xf numFmtId="49" fontId="27" fillId="3" borderId="10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10" xfId="7" applyNumberFormat="1" applyFont="1" applyFill="1" applyBorder="1" applyAlignment="1" applyProtection="1">
      <alignment horizontal="justify" vertical="top"/>
    </xf>
    <xf numFmtId="0" fontId="28" fillId="0" borderId="10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 applyProtection="1">
      <alignment horizontal="left" vertical="top" wrapText="1"/>
      <protection hidden="1"/>
    </xf>
    <xf numFmtId="49" fontId="28" fillId="0" borderId="10" xfId="0" applyNumberFormat="1" applyFont="1" applyFill="1" applyBorder="1" applyAlignment="1" applyProtection="1">
      <alignment horizontal="justify" vertical="center" wrapText="1"/>
      <protection hidden="1"/>
    </xf>
    <xf numFmtId="169" fontId="21" fillId="0" borderId="15" xfId="0" applyNumberFormat="1" applyFont="1" applyFill="1" applyBorder="1" applyAlignment="1" applyProtection="1">
      <alignment horizontal="center" vertical="center"/>
    </xf>
    <xf numFmtId="49" fontId="27" fillId="0" borderId="1" xfId="0" applyNumberFormat="1" applyFont="1" applyFill="1" applyBorder="1" applyAlignment="1" applyProtection="1">
      <alignment horizontal="left" vertical="center" wrapText="1"/>
      <protection hidden="1"/>
    </xf>
    <xf numFmtId="169" fontId="21" fillId="0" borderId="17" xfId="0" applyNumberFormat="1" applyFont="1" applyFill="1" applyBorder="1" applyAlignment="1" applyProtection="1">
      <alignment horizontal="center" vertical="center"/>
    </xf>
    <xf numFmtId="0" fontId="27" fillId="0" borderId="4" xfId="0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 applyProtection="1">
      <alignment horizontal="justify" vertical="center" wrapText="1"/>
      <protection hidden="1"/>
    </xf>
    <xf numFmtId="169" fontId="21" fillId="0" borderId="49" xfId="0" applyNumberFormat="1" applyFont="1" applyFill="1" applyBorder="1" applyAlignment="1" applyProtection="1">
      <alignment horizontal="center" vertical="center"/>
    </xf>
    <xf numFmtId="169" fontId="21" fillId="0" borderId="50" xfId="0" applyNumberFormat="1" applyFont="1" applyFill="1" applyBorder="1" applyAlignment="1" applyProtection="1">
      <alignment horizontal="center" vertical="center"/>
    </xf>
    <xf numFmtId="169" fontId="21" fillId="0" borderId="14" xfId="0" applyNumberFormat="1" applyFont="1" applyFill="1" applyBorder="1" applyAlignment="1" applyProtection="1">
      <alignment horizontal="center" vertical="center"/>
    </xf>
    <xf numFmtId="49" fontId="27" fillId="0" borderId="4" xfId="0" applyNumberFormat="1" applyFont="1" applyFill="1" applyBorder="1" applyAlignment="1" applyProtection="1">
      <alignment horizontal="justify" vertical="center" wrapText="1"/>
      <protection hidden="1"/>
    </xf>
    <xf numFmtId="12" fontId="27" fillId="0" borderId="1" xfId="0" applyNumberFormat="1" applyFont="1" applyFill="1" applyBorder="1" applyAlignment="1" applyProtection="1">
      <alignment horizontal="justify" vertical="center" wrapText="1"/>
      <protection hidden="1"/>
    </xf>
    <xf numFmtId="0" fontId="27" fillId="0" borderId="1" xfId="0" applyFont="1" applyFill="1" applyBorder="1" applyAlignment="1">
      <alignment horizontal="left" vertical="center" wrapText="1"/>
    </xf>
    <xf numFmtId="12" fontId="27" fillId="0" borderId="4" xfId="0" applyNumberFormat="1" applyFont="1" applyFill="1" applyBorder="1" applyAlignment="1" applyProtection="1">
      <alignment horizontal="justify" vertical="center" wrapText="1"/>
      <protection hidden="1"/>
    </xf>
    <xf numFmtId="49" fontId="27" fillId="0" borderId="10" xfId="7" applyNumberFormat="1" applyFont="1" applyFill="1" applyBorder="1" applyAlignment="1" applyProtection="1">
      <alignment horizontal="justify" vertical="center" wrapText="1"/>
    </xf>
    <xf numFmtId="49" fontId="27" fillId="0" borderId="10" xfId="7" applyNumberFormat="1" applyFont="1" applyFill="1" applyBorder="1" applyAlignment="1" applyProtection="1">
      <alignment horizontal="justify" vertical="center"/>
    </xf>
    <xf numFmtId="12" fontId="27" fillId="0" borderId="10" xfId="7" applyNumberFormat="1" applyFont="1" applyFill="1" applyBorder="1" applyAlignment="1" applyProtection="1">
      <alignment horizontal="justify" vertical="center" wrapText="1"/>
    </xf>
    <xf numFmtId="0" fontId="27" fillId="0" borderId="42" xfId="0" applyFont="1" applyFill="1" applyBorder="1" applyAlignment="1">
      <alignment horizontal="left" vertical="center" wrapText="1"/>
    </xf>
    <xf numFmtId="49" fontId="27" fillId="0" borderId="11" xfId="7" applyNumberFormat="1" applyFont="1" applyFill="1" applyBorder="1" applyAlignment="1" applyProtection="1">
      <alignment horizontal="justify" vertical="center" wrapText="1"/>
    </xf>
    <xf numFmtId="49" fontId="28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10" xfId="0" applyNumberFormat="1" applyFont="1" applyFill="1" applyBorder="1" applyAlignment="1" applyProtection="1">
      <alignment horizontal="justify" vertical="center" wrapText="1"/>
      <protection hidden="1"/>
    </xf>
    <xf numFmtId="49" fontId="27" fillId="0" borderId="11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11" xfId="7" applyNumberFormat="1" applyFont="1" applyFill="1" applyBorder="1" applyAlignment="1" applyProtection="1">
      <alignment horizontal="justify" vertical="center" wrapText="1"/>
    </xf>
    <xf numFmtId="49" fontId="24" fillId="0" borderId="1" xfId="0" applyNumberFormat="1" applyFont="1" applyFill="1" applyBorder="1" applyAlignment="1" applyProtection="1">
      <alignment horizontal="left" vertical="center"/>
      <protection hidden="1"/>
    </xf>
    <xf numFmtId="169" fontId="21" fillId="0" borderId="18" xfId="0" applyNumberFormat="1" applyFont="1" applyFill="1" applyBorder="1" applyAlignment="1" applyProtection="1">
      <alignment horizontal="center" vertical="center"/>
    </xf>
    <xf numFmtId="0" fontId="24" fillId="0" borderId="51" xfId="0" applyNumberFormat="1" applyFont="1" applyFill="1" applyBorder="1" applyAlignment="1" applyProtection="1">
      <alignment horizontal="center" vertical="center" wrapText="1"/>
    </xf>
    <xf numFmtId="0" fontId="24" fillId="0" borderId="41" xfId="0" applyNumberFormat="1" applyFont="1" applyFill="1" applyBorder="1" applyAlignment="1" applyProtection="1">
      <alignment horizontal="center" vertical="center" wrapText="1"/>
    </xf>
    <xf numFmtId="0" fontId="20" fillId="0" borderId="41" xfId="0" applyNumberFormat="1" applyFont="1" applyFill="1" applyBorder="1" applyAlignment="1" applyProtection="1">
      <alignment horizontal="center" vertical="center" wrapText="1"/>
    </xf>
    <xf numFmtId="0" fontId="20" fillId="0" borderId="50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0" fillId="0" borderId="14" xfId="0" applyNumberFormat="1" applyFont="1" applyFill="1" applyBorder="1" applyAlignment="1" applyProtection="1">
      <alignment vertical="top"/>
    </xf>
    <xf numFmtId="169" fontId="18" fillId="0" borderId="14" xfId="0" applyNumberFormat="1" applyFont="1" applyFill="1" applyBorder="1" applyAlignment="1" applyProtection="1">
      <alignment horizontal="center" vertical="center"/>
    </xf>
    <xf numFmtId="166" fontId="24" fillId="0" borderId="8" xfId="0" applyNumberFormat="1" applyFont="1" applyFill="1" applyBorder="1" applyAlignment="1" applyProtection="1">
      <alignment horizontal="center" vertical="center"/>
    </xf>
    <xf numFmtId="166" fontId="21" fillId="0" borderId="8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vertical="top"/>
    </xf>
    <xf numFmtId="165" fontId="20" fillId="0" borderId="52" xfId="3" applyNumberFormat="1" applyFont="1" applyFill="1" applyBorder="1" applyAlignment="1" applyProtection="1">
      <alignment horizontal="center" vertical="center"/>
    </xf>
    <xf numFmtId="10" fontId="1" fillId="0" borderId="7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top"/>
    </xf>
    <xf numFmtId="169" fontId="20" fillId="0" borderId="16" xfId="0" applyNumberFormat="1" applyFont="1" applyFill="1" applyBorder="1" applyAlignment="1" applyProtection="1">
      <alignment horizontal="center" vertical="center"/>
    </xf>
    <xf numFmtId="49" fontId="27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53" xfId="0" applyFont="1" applyFill="1" applyBorder="1" applyAlignment="1">
      <alignment horizontal="left" vertical="center" wrapText="1"/>
    </xf>
    <xf numFmtId="49" fontId="27" fillId="0" borderId="37" xfId="0" applyNumberFormat="1" applyFont="1" applyFill="1" applyBorder="1" applyAlignment="1" applyProtection="1">
      <alignment horizontal="center" vertical="center" wrapText="1"/>
      <protection hidden="1"/>
    </xf>
    <xf numFmtId="169" fontId="21" fillId="0" borderId="7" xfId="0" applyNumberFormat="1" applyFont="1" applyFill="1" applyBorder="1" applyAlignment="1" applyProtection="1">
      <alignment horizontal="center" vertical="center"/>
    </xf>
    <xf numFmtId="49" fontId="27" fillId="0" borderId="22" xfId="7" applyNumberFormat="1" applyFont="1" applyFill="1" applyBorder="1" applyAlignment="1" applyProtection="1">
      <alignment horizontal="center" vertical="center"/>
    </xf>
    <xf numFmtId="49" fontId="28" fillId="0" borderId="34" xfId="7" applyNumberFormat="1" applyFont="1" applyFill="1" applyBorder="1" applyAlignment="1" applyProtection="1">
      <alignment horizontal="center" vertical="center"/>
    </xf>
    <xf numFmtId="49" fontId="27" fillId="0" borderId="31" xfId="7" applyNumberFormat="1" applyFont="1" applyFill="1" applyBorder="1" applyAlignment="1" applyProtection="1">
      <alignment horizontal="center" vertical="center"/>
    </xf>
    <xf numFmtId="49" fontId="28" fillId="0" borderId="31" xfId="7" applyNumberFormat="1" applyFont="1" applyFill="1" applyBorder="1" applyAlignment="1" applyProtection="1">
      <alignment horizontal="center" vertical="center"/>
    </xf>
    <xf numFmtId="49" fontId="27" fillId="0" borderId="4" xfId="7" applyNumberFormat="1" applyFont="1" applyFill="1" applyBorder="1" applyAlignment="1" applyProtection="1">
      <alignment horizontal="left" vertical="center"/>
    </xf>
    <xf numFmtId="49" fontId="27" fillId="0" borderId="5" xfId="7" applyNumberFormat="1" applyFont="1" applyFill="1" applyBorder="1" applyAlignment="1" applyProtection="1">
      <alignment horizontal="center" vertical="center"/>
    </xf>
    <xf numFmtId="49" fontId="27" fillId="0" borderId="48" xfId="0" applyNumberFormat="1" applyFont="1" applyFill="1" applyBorder="1" applyAlignment="1" applyProtection="1">
      <alignment horizontal="left" vertical="center" wrapText="1"/>
      <protection hidden="1"/>
    </xf>
    <xf numFmtId="166" fontId="20" fillId="0" borderId="7" xfId="8" applyNumberFormat="1" applyFont="1" applyFill="1" applyBorder="1" applyAlignment="1" applyProtection="1">
      <alignment horizontal="center" vertical="center"/>
    </xf>
    <xf numFmtId="166" fontId="21" fillId="0" borderId="7" xfId="8" applyNumberFormat="1" applyFont="1" applyFill="1" applyBorder="1" applyAlignment="1" applyProtection="1">
      <alignment horizontal="center" vertical="center"/>
    </xf>
    <xf numFmtId="165" fontId="21" fillId="0" borderId="30" xfId="3" applyNumberFormat="1" applyFont="1" applyFill="1" applyBorder="1" applyAlignment="1" applyProtection="1">
      <alignment horizontal="center" vertical="center"/>
    </xf>
    <xf numFmtId="165" fontId="21" fillId="0" borderId="20" xfId="3" applyNumberFormat="1" applyFont="1" applyFill="1" applyBorder="1" applyAlignment="1" applyProtection="1">
      <alignment horizontal="center" vertical="center"/>
    </xf>
    <xf numFmtId="0" fontId="21" fillId="0" borderId="7" xfId="3" applyNumberFormat="1" applyFont="1" applyFill="1" applyBorder="1" applyAlignment="1" applyProtection="1">
      <alignment horizontal="left" vertical="top" wrapText="1"/>
    </xf>
    <xf numFmtId="165" fontId="21" fillId="0" borderId="52" xfId="3" applyNumberFormat="1" applyFont="1" applyFill="1" applyBorder="1" applyAlignment="1" applyProtection="1">
      <alignment horizontal="center" vertical="center"/>
    </xf>
    <xf numFmtId="165" fontId="21" fillId="0" borderId="31" xfId="3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vertical="top"/>
    </xf>
    <xf numFmtId="0" fontId="20" fillId="5" borderId="0" xfId="0" applyNumberFormat="1" applyFont="1" applyFill="1" applyBorder="1" applyAlignment="1" applyProtection="1">
      <alignment horizontal="right"/>
    </xf>
    <xf numFmtId="0" fontId="20" fillId="5" borderId="0" xfId="0" applyNumberFormat="1" applyFont="1" applyFill="1" applyBorder="1" applyAlignment="1" applyProtection="1">
      <alignment vertical="top"/>
    </xf>
    <xf numFmtId="165" fontId="20" fillId="5" borderId="24" xfId="8" applyNumberFormat="1" applyFont="1" applyFill="1" applyBorder="1" applyAlignment="1" applyProtection="1">
      <alignment horizontal="center" vertical="center" wrapText="1"/>
    </xf>
    <xf numFmtId="166" fontId="27" fillId="5" borderId="34" xfId="0" applyNumberFormat="1" applyFont="1" applyFill="1" applyBorder="1" applyAlignment="1" applyProtection="1">
      <alignment horizontal="center" vertical="center" wrapText="1"/>
      <protection hidden="1"/>
    </xf>
    <xf numFmtId="166" fontId="27" fillId="5" borderId="22" xfId="0" applyNumberFormat="1" applyFont="1" applyFill="1" applyBorder="1" applyAlignment="1" applyProtection="1">
      <alignment horizontal="center" vertical="center" wrapText="1"/>
      <protection hidden="1"/>
    </xf>
    <xf numFmtId="166" fontId="28" fillId="5" borderId="22" xfId="0" applyNumberFormat="1" applyFont="1" applyFill="1" applyBorder="1" applyAlignment="1" applyProtection="1">
      <alignment horizontal="center" vertical="center" wrapText="1"/>
      <protection hidden="1"/>
    </xf>
    <xf numFmtId="166" fontId="28" fillId="5" borderId="31" xfId="0" applyNumberFormat="1" applyFont="1" applyFill="1" applyBorder="1" applyAlignment="1" applyProtection="1">
      <alignment horizontal="center" vertical="center" wrapText="1"/>
      <protection hidden="1"/>
    </xf>
    <xf numFmtId="166" fontId="28" fillId="5" borderId="22" xfId="0" applyNumberFormat="1" applyFont="1" applyFill="1" applyBorder="1" applyAlignment="1" applyProtection="1">
      <alignment horizontal="center" vertical="center"/>
      <protection hidden="1"/>
    </xf>
    <xf numFmtId="166" fontId="27" fillId="5" borderId="22" xfId="0" applyNumberFormat="1" applyFont="1" applyFill="1" applyBorder="1" applyAlignment="1" applyProtection="1">
      <alignment horizontal="center" vertical="center"/>
      <protection hidden="1"/>
    </xf>
    <xf numFmtId="166" fontId="27" fillId="5" borderId="22" xfId="0" applyNumberFormat="1" applyFont="1" applyFill="1" applyBorder="1" applyAlignment="1">
      <alignment horizontal="center" vertical="center" wrapText="1"/>
    </xf>
    <xf numFmtId="166" fontId="27" fillId="5" borderId="24" xfId="0" applyNumberFormat="1" applyFont="1" applyFill="1" applyBorder="1" applyAlignment="1" applyProtection="1">
      <alignment horizontal="center" vertical="center" wrapText="1"/>
      <protection hidden="1"/>
    </xf>
    <xf numFmtId="166" fontId="28" fillId="5" borderId="34" xfId="0" applyNumberFormat="1" applyFont="1" applyFill="1" applyBorder="1" applyAlignment="1" applyProtection="1">
      <alignment horizontal="center" vertical="center" wrapText="1"/>
      <protection hidden="1"/>
    </xf>
    <xf numFmtId="166" fontId="27" fillId="5" borderId="5" xfId="0" applyNumberFormat="1" applyFont="1" applyFill="1" applyBorder="1" applyAlignment="1" applyProtection="1">
      <alignment horizontal="center" vertical="center" wrapText="1"/>
      <protection hidden="1"/>
    </xf>
    <xf numFmtId="166" fontId="28" fillId="5" borderId="7" xfId="0" applyNumberFormat="1" applyFont="1" applyFill="1" applyBorder="1" applyAlignment="1" applyProtection="1">
      <alignment horizontal="center" vertical="center" wrapText="1"/>
      <protection hidden="1"/>
    </xf>
    <xf numFmtId="166" fontId="27" fillId="5" borderId="7" xfId="0" applyNumberFormat="1" applyFont="1" applyFill="1" applyBorder="1" applyAlignment="1" applyProtection="1">
      <alignment horizontal="center" vertical="center" wrapText="1"/>
      <protection hidden="1"/>
    </xf>
    <xf numFmtId="166" fontId="28" fillId="5" borderId="12" xfId="0" applyNumberFormat="1" applyFont="1" applyFill="1" applyBorder="1" applyAlignment="1" applyProtection="1">
      <alignment horizontal="center" vertical="center" wrapText="1"/>
      <protection hidden="1"/>
    </xf>
    <xf numFmtId="166" fontId="28" fillId="5" borderId="39" xfId="0" applyNumberFormat="1" applyFont="1" applyFill="1" applyBorder="1" applyAlignment="1" applyProtection="1">
      <alignment horizontal="center" vertical="center" wrapText="1"/>
      <protection hidden="1"/>
    </xf>
    <xf numFmtId="166" fontId="27" fillId="5" borderId="39" xfId="0" applyNumberFormat="1" applyFont="1" applyFill="1" applyBorder="1" applyAlignment="1" applyProtection="1">
      <alignment horizontal="center" vertical="center" wrapText="1"/>
      <protection hidden="1"/>
    </xf>
    <xf numFmtId="166" fontId="27" fillId="5" borderId="22" xfId="7" applyNumberFormat="1" applyFont="1" applyFill="1" applyBorder="1" applyAlignment="1" applyProtection="1">
      <alignment horizontal="center" vertical="center"/>
    </xf>
    <xf numFmtId="166" fontId="28" fillId="5" borderId="22" xfId="7" applyNumberFormat="1" applyFont="1" applyFill="1" applyBorder="1" applyAlignment="1" applyProtection="1">
      <alignment horizontal="center" vertical="center"/>
    </xf>
    <xf numFmtId="166" fontId="27" fillId="5" borderId="7" xfId="7" applyNumberFormat="1" applyFont="1" applyFill="1" applyBorder="1" applyAlignment="1" applyProtection="1">
      <alignment horizontal="center" vertical="center"/>
    </xf>
    <xf numFmtId="166" fontId="27" fillId="5" borderId="31" xfId="7" applyNumberFormat="1" applyFont="1" applyFill="1" applyBorder="1" applyAlignment="1" applyProtection="1">
      <alignment horizontal="center" vertical="center"/>
    </xf>
    <xf numFmtId="166" fontId="27" fillId="5" borderId="44" xfId="0" applyNumberFormat="1" applyFont="1" applyFill="1" applyBorder="1" applyAlignment="1" applyProtection="1">
      <alignment horizontal="center" vertical="center" wrapText="1"/>
      <protection hidden="1"/>
    </xf>
    <xf numFmtId="166" fontId="27" fillId="5" borderId="31" xfId="0" applyNumberFormat="1" applyFont="1" applyFill="1" applyBorder="1" applyAlignment="1" applyProtection="1">
      <alignment horizontal="center" vertical="center" wrapText="1"/>
      <protection hidden="1"/>
    </xf>
    <xf numFmtId="0" fontId="27" fillId="5" borderId="7" xfId="0" applyNumberFormat="1" applyFont="1" applyFill="1" applyBorder="1" applyAlignment="1" applyProtection="1">
      <alignment horizontal="center" vertical="center"/>
    </xf>
    <xf numFmtId="0" fontId="28" fillId="5" borderId="7" xfId="0" applyNumberFormat="1" applyFont="1" applyFill="1" applyBorder="1" applyAlignment="1" applyProtection="1">
      <alignment horizontal="center" vertical="center"/>
    </xf>
    <xf numFmtId="166" fontId="27" fillId="5" borderId="22" xfId="8" applyNumberFormat="1" applyFont="1" applyFill="1" applyBorder="1" applyAlignment="1" applyProtection="1">
      <alignment horizontal="center" vertical="center"/>
    </xf>
    <xf numFmtId="166" fontId="24" fillId="5" borderId="24" xfId="0" applyNumberFormat="1" applyFont="1" applyFill="1" applyBorder="1" applyAlignment="1" applyProtection="1">
      <alignment horizontal="center" vertical="center"/>
      <protection hidden="1"/>
    </xf>
    <xf numFmtId="165" fontId="20" fillId="5" borderId="2" xfId="8" applyNumberFormat="1" applyFont="1" applyFill="1" applyBorder="1" applyAlignment="1" applyProtection="1">
      <alignment horizontal="center" vertical="center" wrapText="1"/>
    </xf>
    <xf numFmtId="0" fontId="0" fillId="5" borderId="7" xfId="0" applyNumberFormat="1" applyFont="1" applyFill="1" applyBorder="1" applyAlignment="1" applyProtection="1">
      <alignment vertical="top"/>
    </xf>
    <xf numFmtId="0" fontId="20" fillId="5" borderId="7" xfId="0" applyNumberFormat="1" applyFont="1" applyFill="1" applyBorder="1" applyAlignment="1" applyProtection="1">
      <alignment horizontal="center" vertical="center"/>
    </xf>
    <xf numFmtId="166" fontId="28" fillId="5" borderId="47" xfId="0" applyNumberFormat="1" applyFont="1" applyFill="1" applyBorder="1" applyAlignment="1" applyProtection="1">
      <alignment horizontal="center" vertical="center" wrapText="1"/>
      <protection hidden="1"/>
    </xf>
    <xf numFmtId="166" fontId="28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27" fillId="5" borderId="34" xfId="7" applyNumberFormat="1" applyFont="1" applyFill="1" applyBorder="1" applyAlignment="1" applyProtection="1">
      <alignment horizontal="center" vertical="center"/>
    </xf>
    <xf numFmtId="0" fontId="28" fillId="5" borderId="22" xfId="0" applyNumberFormat="1" applyFont="1" applyFill="1" applyBorder="1" applyAlignment="1" applyProtection="1">
      <alignment horizontal="center" vertical="center"/>
    </xf>
    <xf numFmtId="165" fontId="27" fillId="5" borderId="7" xfId="0" applyNumberFormat="1" applyFont="1" applyFill="1" applyBorder="1" applyAlignment="1" applyProtection="1">
      <alignment horizontal="center" vertical="center"/>
    </xf>
    <xf numFmtId="49" fontId="27" fillId="5" borderId="10" xfId="0" applyNumberFormat="1" applyFont="1" applyFill="1" applyBorder="1" applyAlignment="1" applyProtection="1">
      <alignment horizontal="left" vertical="center" wrapText="1"/>
      <protection hidden="1"/>
    </xf>
    <xf numFmtId="49" fontId="28" fillId="5" borderId="10" xfId="0" applyNumberFormat="1" applyFont="1" applyFill="1" applyBorder="1" applyAlignment="1" applyProtection="1">
      <alignment horizontal="left" vertical="center" wrapText="1"/>
      <protection hidden="1"/>
    </xf>
    <xf numFmtId="49" fontId="28" fillId="5" borderId="11" xfId="0" applyNumberFormat="1" applyFont="1" applyFill="1" applyBorder="1" applyAlignment="1" applyProtection="1">
      <alignment horizontal="left" vertical="center" wrapText="1"/>
      <protection hidden="1"/>
    </xf>
    <xf numFmtId="49" fontId="28" fillId="5" borderId="10" xfId="7" applyNumberFormat="1" applyFont="1" applyFill="1" applyBorder="1" applyAlignment="1" applyProtection="1">
      <alignment horizontal="justify" vertical="center" wrapText="1"/>
    </xf>
    <xf numFmtId="49" fontId="28" fillId="5" borderId="9" xfId="0" applyNumberFormat="1" applyFont="1" applyFill="1" applyBorder="1" applyAlignment="1" applyProtection="1">
      <alignment horizontal="left" vertical="center" wrapText="1"/>
      <protection hidden="1"/>
    </xf>
    <xf numFmtId="49" fontId="27" fillId="5" borderId="7" xfId="0" applyNumberFormat="1" applyFont="1" applyFill="1" applyBorder="1" applyAlignment="1" applyProtection="1">
      <alignment horizontal="center" vertical="center" wrapText="1"/>
      <protection hidden="1"/>
    </xf>
    <xf numFmtId="49" fontId="28" fillId="5" borderId="7" xfId="0" applyNumberFormat="1" applyFont="1" applyFill="1" applyBorder="1" applyAlignment="1" applyProtection="1">
      <alignment horizontal="center" vertical="center" wrapText="1"/>
      <protection hidden="1"/>
    </xf>
    <xf numFmtId="49" fontId="28" fillId="5" borderId="12" xfId="0" applyNumberFormat="1" applyFont="1" applyFill="1" applyBorder="1" applyAlignment="1" applyProtection="1">
      <alignment horizontal="center" vertical="center" wrapText="1"/>
      <protection hidden="1"/>
    </xf>
    <xf numFmtId="49" fontId="28" fillId="5" borderId="8" xfId="0" applyNumberFormat="1" applyFont="1" applyFill="1" applyBorder="1" applyAlignment="1" applyProtection="1">
      <alignment horizontal="center" vertical="center" wrapText="1"/>
      <protection hidden="1"/>
    </xf>
    <xf numFmtId="49" fontId="28" fillId="5" borderId="46" xfId="0" applyNumberFormat="1" applyFont="1" applyFill="1" applyBorder="1" applyAlignment="1" applyProtection="1">
      <alignment horizontal="center" vertical="center" wrapText="1"/>
      <protection hidden="1"/>
    </xf>
    <xf numFmtId="166" fontId="28" fillId="5" borderId="14" xfId="0" applyNumberFormat="1" applyFont="1" applyFill="1" applyBorder="1" applyAlignment="1" applyProtection="1">
      <alignment horizontal="center" vertical="center" wrapText="1"/>
      <protection hidden="1"/>
    </xf>
    <xf numFmtId="165" fontId="27" fillId="5" borderId="14" xfId="0" applyNumberFormat="1" applyFont="1" applyFill="1" applyBorder="1" applyAlignment="1" applyProtection="1">
      <alignment horizontal="center" vertical="center"/>
      <protection hidden="1"/>
    </xf>
    <xf numFmtId="165" fontId="28" fillId="5" borderId="14" xfId="0" applyNumberFormat="1" applyFont="1" applyFill="1" applyBorder="1" applyAlignment="1" applyProtection="1">
      <alignment horizontal="center" vertical="center"/>
      <protection hidden="1"/>
    </xf>
    <xf numFmtId="165" fontId="28" fillId="5" borderId="14" xfId="0" applyNumberFormat="1" applyFont="1" applyFill="1" applyBorder="1" applyAlignment="1" applyProtection="1">
      <alignment horizontal="center" vertical="center" wrapText="1"/>
      <protection hidden="1"/>
    </xf>
    <xf numFmtId="165" fontId="28" fillId="5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NumberFormat="1" applyFont="1" applyFill="1" applyBorder="1" applyAlignment="1" applyProtection="1">
      <alignment vertical="top"/>
    </xf>
    <xf numFmtId="166" fontId="1" fillId="5" borderId="0" xfId="0" applyNumberFormat="1" applyFont="1" applyFill="1" applyBorder="1" applyAlignment="1" applyProtection="1">
      <alignment vertical="top"/>
    </xf>
    <xf numFmtId="165" fontId="1" fillId="5" borderId="0" xfId="0" applyNumberFormat="1" applyFont="1" applyFill="1" applyBorder="1" applyAlignment="1" applyProtection="1">
      <alignment vertical="top"/>
    </xf>
    <xf numFmtId="2" fontId="1" fillId="5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49" fontId="27" fillId="0" borderId="7" xfId="7" applyNumberFormat="1" applyFont="1" applyFill="1" applyBorder="1" applyAlignment="1" applyProtection="1">
      <alignment horizontal="left" vertical="center" wrapText="1"/>
    </xf>
    <xf numFmtId="49" fontId="28" fillId="0" borderId="7" xfId="7" applyNumberFormat="1" applyFont="1" applyFill="1" applyBorder="1" applyAlignment="1" applyProtection="1">
      <alignment horizontal="justify" vertical="center"/>
    </xf>
    <xf numFmtId="49" fontId="28" fillId="0" borderId="7" xfId="7" applyNumberFormat="1" applyFont="1" applyFill="1" applyBorder="1" applyAlignment="1" applyProtection="1">
      <alignment horizontal="justify" vertical="center" wrapText="1"/>
    </xf>
    <xf numFmtId="49" fontId="28" fillId="3" borderId="7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7" xfId="0" applyNumberFormat="1" applyFont="1" applyFill="1" applyBorder="1" applyAlignment="1" applyProtection="1">
      <alignment horizontal="justify" vertical="center" wrapText="1"/>
      <protection hidden="1"/>
    </xf>
    <xf numFmtId="0" fontId="28" fillId="0" borderId="7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49" fontId="27" fillId="3" borderId="7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7" xfId="0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 applyProtection="1">
      <alignment horizontal="left" vertical="top" wrapText="1"/>
      <protection hidden="1"/>
    </xf>
    <xf numFmtId="12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7" applyNumberFormat="1" applyFont="1" applyFill="1" applyBorder="1" applyAlignment="1" applyProtection="1">
      <alignment horizontal="center" vertical="center" wrapText="1"/>
    </xf>
    <xf numFmtId="12" fontId="28" fillId="0" borderId="7" xfId="7" applyNumberFormat="1" applyFont="1" applyFill="1" applyBorder="1" applyAlignment="1" applyProtection="1">
      <alignment horizontal="justify" vertical="center" wrapText="1"/>
    </xf>
    <xf numFmtId="12" fontId="28" fillId="0" borderId="7" xfId="7" applyNumberFormat="1" applyFont="1" applyFill="1" applyBorder="1" applyAlignment="1" applyProtection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justify" vertical="center" wrapText="1"/>
      <protection hidden="1"/>
    </xf>
    <xf numFmtId="49" fontId="27" fillId="5" borderId="7" xfId="0" applyNumberFormat="1" applyFont="1" applyFill="1" applyBorder="1" applyAlignment="1" applyProtection="1">
      <alignment horizontal="left" vertical="center" wrapText="1"/>
      <protection hidden="1"/>
    </xf>
    <xf numFmtId="49" fontId="28" fillId="5" borderId="7" xfId="0" applyNumberFormat="1" applyFont="1" applyFill="1" applyBorder="1" applyAlignment="1" applyProtection="1">
      <alignment horizontal="left" vertical="center" wrapText="1"/>
      <protection hidden="1"/>
    </xf>
    <xf numFmtId="49" fontId="28" fillId="5" borderId="7" xfId="7" applyNumberFormat="1" applyFont="1" applyFill="1" applyBorder="1" applyAlignment="1" applyProtection="1">
      <alignment horizontal="justify" vertical="center" wrapText="1"/>
    </xf>
    <xf numFmtId="49" fontId="27" fillId="0" borderId="7" xfId="7" applyNumberFormat="1" applyFont="1" applyFill="1" applyBorder="1" applyAlignment="1" applyProtection="1">
      <alignment horizontal="justify" vertical="center"/>
    </xf>
    <xf numFmtId="0" fontId="24" fillId="0" borderId="2" xfId="0" applyNumberFormat="1" applyFont="1" applyFill="1" applyBorder="1" applyAlignment="1" applyProtection="1">
      <alignment horizontal="center" vertical="center"/>
      <protection hidden="1"/>
    </xf>
    <xf numFmtId="49" fontId="31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31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31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31" fillId="0" borderId="4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2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2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5" xfId="0" applyFont="1" applyFill="1" applyBorder="1" applyAlignment="1">
      <alignment horizontal="left" vertical="center" wrapText="1"/>
    </xf>
    <xf numFmtId="49" fontId="27" fillId="0" borderId="2" xfId="0" applyNumberFormat="1" applyFont="1" applyFill="1" applyBorder="1" applyAlignment="1" applyProtection="1">
      <alignment horizontal="justify" vertical="center" wrapText="1"/>
      <protection hidden="1"/>
    </xf>
    <xf numFmtId="49" fontId="27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54" xfId="0" applyNumberFormat="1" applyFont="1" applyFill="1" applyBorder="1" applyAlignment="1" applyProtection="1">
      <alignment horizontal="center" vertical="center" wrapText="1"/>
      <protection hidden="1"/>
    </xf>
    <xf numFmtId="12" fontId="27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5" xfId="0" applyNumberFormat="1" applyFont="1" applyFill="1" applyBorder="1" applyAlignment="1" applyProtection="1">
      <alignment horizontal="justify" vertical="center" wrapText="1"/>
      <protection hidden="1"/>
    </xf>
    <xf numFmtId="12" fontId="27" fillId="0" borderId="2" xfId="0" applyNumberFormat="1" applyFont="1" applyFill="1" applyBorder="1" applyAlignment="1" applyProtection="1">
      <alignment horizontal="justify" vertical="center" wrapText="1"/>
      <protection hidden="1"/>
    </xf>
    <xf numFmtId="0" fontId="27" fillId="0" borderId="43" xfId="0" applyFont="1" applyFill="1" applyBorder="1" applyAlignment="1">
      <alignment horizontal="left" vertical="center" wrapText="1"/>
    </xf>
    <xf numFmtId="12" fontId="28" fillId="0" borderId="41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41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" xfId="7" applyNumberFormat="1" applyFont="1" applyFill="1" applyBorder="1" applyAlignment="1" applyProtection="1">
      <alignment horizontal="justify" vertical="center" wrapText="1"/>
    </xf>
    <xf numFmtId="49" fontId="27" fillId="0" borderId="2" xfId="7" applyNumberFormat="1" applyFont="1" applyFill="1" applyBorder="1" applyAlignment="1" applyProtection="1">
      <alignment horizontal="center" vertical="center" wrapText="1"/>
    </xf>
    <xf numFmtId="49" fontId="27" fillId="0" borderId="2" xfId="7" applyNumberFormat="1" applyFont="1" applyFill="1" applyBorder="1" applyAlignment="1" applyProtection="1">
      <alignment horizontal="center" vertical="center"/>
    </xf>
    <xf numFmtId="49" fontId="28" fillId="0" borderId="5" xfId="7" applyNumberFormat="1" applyFont="1" applyFill="1" applyBorder="1" applyAlignment="1" applyProtection="1">
      <alignment horizontal="justify" vertical="center" wrapTex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49" fontId="28" fillId="0" borderId="13" xfId="7" applyNumberFormat="1" applyFont="1" applyFill="1" applyBorder="1" applyAlignment="1" applyProtection="1">
      <alignment horizontal="center" vertical="center"/>
    </xf>
    <xf numFmtId="49" fontId="28" fillId="0" borderId="5" xfId="7" applyNumberFormat="1" applyFont="1" applyFill="1" applyBorder="1" applyAlignment="1" applyProtection="1">
      <alignment horizontal="center" vertical="center"/>
    </xf>
    <xf numFmtId="49" fontId="28" fillId="0" borderId="12" xfId="7" applyNumberFormat="1" applyFont="1" applyFill="1" applyBorder="1" applyAlignment="1" applyProtection="1">
      <alignment horizontal="center" vertical="center" wrapText="1"/>
    </xf>
    <xf numFmtId="49" fontId="28" fillId="0" borderId="2" xfId="7" applyNumberFormat="1" applyFont="1" applyFill="1" applyBorder="1" applyAlignment="1" applyProtection="1">
      <alignment horizontal="center" vertical="center"/>
    </xf>
    <xf numFmtId="49" fontId="28" fillId="0" borderId="5" xfId="7" applyNumberFormat="1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49" fontId="28" fillId="0" borderId="5" xfId="7" applyNumberFormat="1" applyFont="1" applyFill="1" applyBorder="1" applyAlignment="1" applyProtection="1">
      <alignment horizontal="left" vertical="center"/>
    </xf>
    <xf numFmtId="12" fontId="28" fillId="0" borderId="12" xfId="7" applyNumberFormat="1" applyFont="1" applyFill="1" applyBorder="1" applyAlignment="1" applyProtection="1">
      <alignment horizontal="center" vertical="center" wrapText="1"/>
    </xf>
    <xf numFmtId="49" fontId="28" fillId="0" borderId="12" xfId="7" applyNumberFormat="1" applyFont="1" applyFill="1" applyBorder="1" applyAlignment="1" applyProtection="1">
      <alignment horizontal="justify" vertical="center" wrapText="1"/>
    </xf>
    <xf numFmtId="12" fontId="28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12" xfId="0" applyNumberFormat="1" applyFont="1" applyFill="1" applyBorder="1" applyAlignment="1" applyProtection="1">
      <alignment horizontal="justify" vertical="center" wrapText="1"/>
      <protection hidden="1"/>
    </xf>
    <xf numFmtId="49" fontId="27" fillId="5" borderId="12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7" xfId="0" applyNumberFormat="1" applyFont="1" applyFill="1" applyBorder="1" applyAlignment="1" applyProtection="1">
      <alignment horizontal="center" vertical="center"/>
    </xf>
    <xf numFmtId="49" fontId="27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24" fillId="0" borderId="2" xfId="0" applyNumberFormat="1" applyFont="1" applyFill="1" applyBorder="1" applyAlignment="1" applyProtection="1">
      <alignment horizontal="left" vertical="center"/>
      <protection hidden="1"/>
    </xf>
    <xf numFmtId="166" fontId="27" fillId="0" borderId="34" xfId="0" applyNumberFormat="1" applyFont="1" applyFill="1" applyBorder="1" applyAlignment="1" applyProtection="1">
      <alignment horizontal="center" vertical="center" wrapText="1"/>
      <protection hidden="1"/>
    </xf>
    <xf numFmtId="166" fontId="27" fillId="0" borderId="22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22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31" xfId="0" applyNumberFormat="1" applyFont="1" applyFill="1" applyBorder="1" applyAlignment="1" applyProtection="1">
      <alignment horizontal="center" vertical="center" wrapText="1"/>
      <protection hidden="1"/>
    </xf>
    <xf numFmtId="166" fontId="31" fillId="0" borderId="39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22" xfId="0" applyNumberFormat="1" applyFont="1" applyFill="1" applyBorder="1" applyAlignment="1" applyProtection="1">
      <alignment horizontal="center" vertical="center"/>
      <protection hidden="1"/>
    </xf>
    <xf numFmtId="166" fontId="27" fillId="0" borderId="22" xfId="0" applyNumberFormat="1" applyFont="1" applyFill="1" applyBorder="1" applyAlignment="1" applyProtection="1">
      <alignment horizontal="center" vertical="center"/>
      <protection hidden="1"/>
    </xf>
    <xf numFmtId="166" fontId="27" fillId="0" borderId="22" xfId="0" applyNumberFormat="1" applyFont="1" applyFill="1" applyBorder="1" applyAlignment="1">
      <alignment horizontal="center" vertical="center" wrapText="1"/>
    </xf>
    <xf numFmtId="166" fontId="27" fillId="0" borderId="24" xfId="0" applyNumberFormat="1" applyFont="1" applyFill="1" applyBorder="1" applyAlignment="1" applyProtection="1">
      <alignment horizontal="center" vertical="center" wrapText="1"/>
      <protection hidden="1"/>
    </xf>
    <xf numFmtId="166" fontId="27" fillId="0" borderId="44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55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37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34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34" xfId="7" applyNumberFormat="1" applyFont="1" applyFill="1" applyBorder="1" applyAlignment="1" applyProtection="1">
      <alignment horizontal="center" vertical="center"/>
    </xf>
    <xf numFmtId="166" fontId="28" fillId="0" borderId="22" xfId="7" applyNumberFormat="1" applyFont="1" applyFill="1" applyBorder="1" applyAlignment="1" applyProtection="1">
      <alignment horizontal="center" vertical="center"/>
    </xf>
    <xf numFmtId="166" fontId="28" fillId="0" borderId="31" xfId="7" applyNumberFormat="1" applyFont="1" applyFill="1" applyBorder="1" applyAlignment="1" applyProtection="1">
      <alignment horizontal="center" vertical="center"/>
    </xf>
    <xf numFmtId="166" fontId="27" fillId="0" borderId="20" xfId="0" applyNumberFormat="1" applyFont="1" applyFill="1" applyBorder="1" applyAlignment="1" applyProtection="1">
      <alignment horizontal="center" vertical="center" wrapText="1"/>
      <protection hidden="1"/>
    </xf>
    <xf numFmtId="166" fontId="27" fillId="0" borderId="31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47" xfId="0" applyNumberFormat="1" applyFont="1" applyFill="1" applyBorder="1" applyAlignment="1" applyProtection="1">
      <alignment horizontal="center" vertical="center" wrapText="1"/>
      <protection hidden="1"/>
    </xf>
    <xf numFmtId="166" fontId="27" fillId="0" borderId="39" xfId="0" applyNumberFormat="1" applyFont="1" applyFill="1" applyBorder="1" applyAlignment="1" applyProtection="1">
      <alignment horizontal="center" vertical="center" wrapText="1"/>
      <protection hidden="1"/>
    </xf>
    <xf numFmtId="166" fontId="27" fillId="0" borderId="22" xfId="8" applyNumberFormat="1" applyFont="1" applyFill="1" applyBorder="1" applyAlignment="1" applyProtection="1">
      <alignment horizontal="center" vertical="center"/>
    </xf>
    <xf numFmtId="166" fontId="24" fillId="0" borderId="24" xfId="0" applyNumberFormat="1" applyFont="1" applyFill="1" applyBorder="1" applyAlignment="1" applyProtection="1">
      <alignment horizontal="center" vertical="center"/>
      <protection hidden="1"/>
    </xf>
    <xf numFmtId="165" fontId="24" fillId="0" borderId="15" xfId="8" applyNumberFormat="1" applyFont="1" applyFill="1" applyBorder="1" applyAlignment="1" applyProtection="1">
      <alignment horizontal="center" vertical="center" wrapText="1"/>
    </xf>
    <xf numFmtId="165" fontId="21" fillId="5" borderId="8" xfId="8" applyNumberFormat="1" applyFont="1" applyFill="1" applyBorder="1" applyAlignment="1" applyProtection="1">
      <alignment horizontal="center" vertical="center" wrapText="1"/>
    </xf>
    <xf numFmtId="165" fontId="21" fillId="0" borderId="8" xfId="8" applyNumberFormat="1" applyFont="1" applyFill="1" applyBorder="1" applyAlignment="1" applyProtection="1">
      <alignment horizontal="center" vertical="center" wrapText="1"/>
    </xf>
    <xf numFmtId="166" fontId="31" fillId="0" borderId="22" xfId="0" applyNumberFormat="1" applyFont="1" applyFill="1" applyBorder="1" applyAlignment="1" applyProtection="1">
      <alignment horizontal="center" vertical="center" wrapText="1"/>
      <protection hidden="1"/>
    </xf>
    <xf numFmtId="165" fontId="27" fillId="0" borderId="7" xfId="0" applyNumberFormat="1" applyFont="1" applyFill="1" applyBorder="1" applyAlignment="1" applyProtection="1">
      <alignment horizontal="center" vertical="center"/>
    </xf>
    <xf numFmtId="165" fontId="31" fillId="0" borderId="7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right" vertical="top"/>
      <protection locked="0"/>
    </xf>
    <xf numFmtId="0" fontId="20" fillId="0" borderId="0" xfId="7" applyNumberFormat="1" applyFont="1" applyFill="1" applyBorder="1" applyAlignment="1" applyProtection="1">
      <alignment horizontal="right" vertical="top"/>
      <protection locked="0"/>
    </xf>
    <xf numFmtId="0" fontId="23" fillId="0" borderId="0" xfId="0" applyNumberFormat="1" applyFont="1" applyFill="1" applyBorder="1" applyAlignment="1" applyProtection="1">
      <alignment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0" fontId="24" fillId="0" borderId="7" xfId="0" applyNumberFormat="1" applyFont="1" applyFill="1" applyBorder="1" applyAlignment="1" applyProtection="1">
      <alignment horizontal="center" vertical="center"/>
      <protection hidden="1"/>
    </xf>
    <xf numFmtId="0" fontId="24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vertical="center"/>
    </xf>
    <xf numFmtId="166" fontId="0" fillId="0" borderId="0" xfId="0" applyNumberFormat="1" applyFont="1" applyFill="1" applyBorder="1" applyAlignment="1" applyProtection="1">
      <alignment vertical="top"/>
    </xf>
    <xf numFmtId="12" fontId="28" fillId="0" borderId="7" xfId="0" applyNumberFormat="1" applyFont="1" applyFill="1" applyBorder="1" applyAlignment="1" applyProtection="1">
      <alignment horizontal="justify" vertical="center" wrapText="1"/>
      <protection hidden="1"/>
    </xf>
    <xf numFmtId="49" fontId="24" fillId="0" borderId="2" xfId="0" applyNumberFormat="1" applyFont="1" applyFill="1" applyBorder="1" applyAlignment="1" applyProtection="1">
      <alignment horizontal="left"/>
      <protection hidden="1"/>
    </xf>
    <xf numFmtId="49" fontId="24" fillId="0" borderId="2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Font="1" applyFill="1" applyBorder="1" applyAlignment="1" applyProtection="1">
      <alignment vertical="top"/>
    </xf>
    <xf numFmtId="2" fontId="0" fillId="0" borderId="0" xfId="0" applyNumberFormat="1" applyFont="1" applyFill="1" applyBorder="1" applyAlignment="1" applyProtection="1">
      <alignment vertical="top"/>
    </xf>
    <xf numFmtId="165" fontId="24" fillId="0" borderId="22" xfId="8" applyNumberFormat="1" applyFont="1" applyFill="1" applyBorder="1" applyAlignment="1" applyProtection="1">
      <alignment horizontal="center" vertical="center" wrapText="1"/>
    </xf>
    <xf numFmtId="166" fontId="24" fillId="0" borderId="24" xfId="0" applyNumberFormat="1" applyFont="1" applyFill="1" applyBorder="1" applyAlignment="1" applyProtection="1">
      <alignment horizontal="center"/>
      <protection hidden="1"/>
    </xf>
    <xf numFmtId="0" fontId="10" fillId="0" borderId="0" xfId="5" applyNumberFormat="1" applyFill="1" applyBorder="1" applyAlignment="1" applyProtection="1">
      <alignment horizontal="center"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4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5" fillId="0" borderId="0" xfId="0" applyNumberFormat="1" applyFont="1" applyFill="1" applyBorder="1" applyAlignment="1" applyProtection="1">
      <alignment horizontal="right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right" vertical="center" wrapText="1"/>
    </xf>
    <xf numFmtId="0" fontId="29" fillId="0" borderId="0" xfId="0" applyNumberFormat="1" applyFont="1" applyFill="1" applyBorder="1" applyAlignment="1" applyProtection="1">
      <alignment horizontal="right" vertical="top" wrapText="1"/>
    </xf>
    <xf numFmtId="0" fontId="30" fillId="0" borderId="0" xfId="0" applyNumberFormat="1" applyFont="1" applyFill="1" applyBorder="1" applyAlignment="1" applyProtection="1">
      <alignment horizontal="right" vertical="top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4" fillId="0" borderId="7" xfId="0" applyNumberFormat="1" applyFont="1" applyFill="1" applyBorder="1" applyAlignment="1" applyProtection="1">
      <alignment horizontal="left" vertical="center" wrapText="1"/>
    </xf>
    <xf numFmtId="0" fontId="24" fillId="0" borderId="9" xfId="0" applyNumberFormat="1" applyFont="1" applyFill="1" applyBorder="1" applyAlignment="1" applyProtection="1">
      <alignment horizontal="left" vertical="center" wrapText="1"/>
    </xf>
    <xf numFmtId="0" fontId="24" fillId="0" borderId="8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 wrapText="1"/>
    </xf>
    <xf numFmtId="0" fontId="24" fillId="0" borderId="20" xfId="0" applyNumberFormat="1" applyFont="1" applyFill="1" applyBorder="1" applyAlignment="1" applyProtection="1">
      <alignment horizontal="left" vertical="center" wrapText="1"/>
    </xf>
    <xf numFmtId="0" fontId="24" fillId="0" borderId="30" xfId="0" applyNumberFormat="1" applyFont="1" applyFill="1" applyBorder="1" applyAlignment="1" applyProtection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right" vertical="top"/>
    </xf>
  </cellXfs>
  <cellStyles count="9">
    <cellStyle name="Обычный" xfId="0" builtinId="0"/>
    <cellStyle name="Обычный 2" xfId="1"/>
    <cellStyle name="Обычный 2 2" xfId="2"/>
    <cellStyle name="Обычный 2 2 2" xfId="7"/>
    <cellStyle name="Обычный 3" xfId="3"/>
    <cellStyle name="Обычный 3 2" xfId="8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8;&#1086;&#1077;&#1082;&#1090;%20%202012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91;&#1093;&#1075;&#1072;&#1083;&#1090;&#1077;&#1088;&#1080;&#1103;/&#1055;&#1088;&#1086;&#1077;&#1082;&#1090;%202020%20&#1075;&#1086;&#1076;/&#1057;&#1086;&#1075;&#1083;&#1072;&#1096;&#1077;&#1085;&#1080;&#1077;%20&#1089;%20&#1050;&#1060;%202020/&#1048;&#1079;&#1084;&#1077;&#1085;&#1077;&#1085;&#1080;&#1103;%20&#1089;%20%2023.12.2020%20&#1073;&#1102;&#1076;&#1078;&#1077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91;&#1093;&#1075;&#1072;&#1083;&#1090;&#1077;&#1088;&#1080;&#1103;/&#1055;&#1088;&#1086;&#1077;&#1082;&#1090;%202020%20&#1075;&#1086;&#1076;/&#1057;&#1086;&#1075;&#1083;&#1072;&#1096;&#1077;&#1085;&#1080;&#1077;%20&#1089;%20&#1050;&#1060;%202020/&#1048;&#1079;&#1084;&#1077;&#1085;&#1077;&#1085;&#1080;&#1103;%20&#1089;%2004.03.2020/&#1073;&#1102;&#1076;&#1078;&#1077;&#1090;%20&#1085;&#1072;%202020%20&#1080;&#1079;&#1084;%20&#1085;&#1072;%2004.03.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проект"/>
      <sheetName val="роспись"/>
      <sheetName val="ведомст.структ"/>
      <sheetName val="СРП(Д)"/>
      <sheetName val="прилож 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9">
          <cell r="I79">
            <v>20086.600000000002</v>
          </cell>
          <cell r="J79">
            <v>30141.100000000002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Прилож 2"/>
      <sheetName val="Функц.2020 (прил 3) "/>
      <sheetName val="Вед. 2020 (прил 4)"/>
      <sheetName val="Прилож.5"/>
    </sheetNames>
    <sheetDataSet>
      <sheetData sheetId="0"/>
      <sheetData sheetId="1"/>
      <sheetData sheetId="2"/>
      <sheetData sheetId="3">
        <row r="26">
          <cell r="L26">
            <v>9104.9999999999982</v>
          </cell>
        </row>
        <row r="54">
          <cell r="L54">
            <v>20</v>
          </cell>
        </row>
        <row r="198">
          <cell r="L198">
            <v>0.20000000000000018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Прилож 2"/>
      <sheetName val="Функц.2020 (прил 3) "/>
      <sheetName val="Вед. 2020 (прил 4)"/>
      <sheetName val="приложение 5"/>
    </sheetNames>
    <sheetDataSet>
      <sheetData sheetId="0"/>
      <sheetData sheetId="1"/>
      <sheetData sheetId="2"/>
      <sheetData sheetId="3">
        <row r="184">
          <cell r="L184">
            <v>346.5</v>
          </cell>
        </row>
      </sheetData>
      <sheetData sheetId="4">
        <row r="14">
          <cell r="N14">
            <v>1224</v>
          </cell>
        </row>
        <row r="94">
          <cell r="N94">
            <v>46.5</v>
          </cell>
        </row>
        <row r="116">
          <cell r="N116">
            <v>46</v>
          </cell>
        </row>
        <row r="163">
          <cell r="N163">
            <v>64</v>
          </cell>
        </row>
        <row r="197">
          <cell r="N197">
            <v>1081.4000000000001</v>
          </cell>
        </row>
        <row r="212">
          <cell r="N212">
            <v>692.4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view="pageBreakPreview" zoomScale="115" zoomScaleSheetLayoutView="115" workbookViewId="0">
      <selection activeCell="C17" sqref="C17"/>
    </sheetView>
  </sheetViews>
  <sheetFormatPr defaultColWidth="8.6640625" defaultRowHeight="13.2"/>
  <cols>
    <col min="1" max="1" width="17" style="12" customWidth="1"/>
    <col min="2" max="2" width="10.109375" style="12" customWidth="1"/>
    <col min="3" max="3" width="10.109375" style="12" bestFit="1" customWidth="1"/>
    <col min="4" max="4" width="9.109375" style="14" bestFit="1" customWidth="1"/>
    <col min="5" max="5" width="5.109375" style="13" bestFit="1" customWidth="1"/>
    <col min="6" max="6" width="6.88671875" style="13" bestFit="1" customWidth="1"/>
    <col min="7" max="7" width="8.5546875" style="12" customWidth="1"/>
    <col min="8" max="8" width="15.6640625" style="11" customWidth="1"/>
    <col min="9" max="9" width="13.109375" style="10" bestFit="1" customWidth="1"/>
    <col min="10" max="10" width="13.5546875" style="10" bestFit="1" customWidth="1"/>
    <col min="11" max="16384" width="8.6640625" style="10"/>
  </cols>
  <sheetData>
    <row r="1" spans="1:10">
      <c r="A1" s="29" t="s">
        <v>121</v>
      </c>
      <c r="F1" s="528"/>
      <c r="G1" s="529"/>
      <c r="H1" s="529"/>
    </row>
    <row r="2" spans="1:10" ht="13.8" thickBot="1">
      <c r="A2" s="29"/>
      <c r="F2" s="73"/>
      <c r="G2" s="28"/>
      <c r="H2" s="28"/>
    </row>
    <row r="3" spans="1:10" ht="13.8" thickBot="1">
      <c r="A3" s="70" t="s">
        <v>110</v>
      </c>
      <c r="B3" s="70" t="s">
        <v>109</v>
      </c>
      <c r="C3" s="70" t="s">
        <v>108</v>
      </c>
      <c r="D3" s="72" t="s">
        <v>107</v>
      </c>
      <c r="E3" s="71" t="s">
        <v>106</v>
      </c>
      <c r="F3" s="71" t="s">
        <v>105</v>
      </c>
      <c r="G3" s="70" t="s">
        <v>104</v>
      </c>
      <c r="H3" s="69" t="s">
        <v>76</v>
      </c>
    </row>
    <row r="4" spans="1:10">
      <c r="A4" s="68" t="s">
        <v>112</v>
      </c>
      <c r="B4" s="56">
        <v>1</v>
      </c>
      <c r="C4" s="56">
        <v>24</v>
      </c>
      <c r="D4" s="58">
        <v>870</v>
      </c>
      <c r="E4" s="57"/>
      <c r="F4" s="57">
        <v>0.1</v>
      </c>
      <c r="G4" s="56">
        <v>12</v>
      </c>
      <c r="H4" s="55">
        <f>B4*(2+E4+F4)*(C4*D4)*G4</f>
        <v>526176</v>
      </c>
      <c r="I4" s="15"/>
    </row>
    <row r="5" spans="1:10">
      <c r="A5" s="67" t="s">
        <v>112</v>
      </c>
      <c r="B5" s="54"/>
      <c r="C5" s="51"/>
      <c r="D5" s="53">
        <v>0.26200000000000001</v>
      </c>
      <c r="E5" s="32"/>
      <c r="F5" s="32"/>
      <c r="G5" s="19">
        <v>12</v>
      </c>
      <c r="H5" s="52">
        <f>H4*D5</f>
        <v>137858.11199999999</v>
      </c>
      <c r="I5" s="15"/>
      <c r="J5" s="17">
        <f>H4+H5</f>
        <v>664034.11199999996</v>
      </c>
    </row>
    <row r="6" spans="1:10">
      <c r="A6" s="27" t="s">
        <v>111</v>
      </c>
      <c r="B6" s="19">
        <v>1</v>
      </c>
      <c r="C6" s="51">
        <v>18</v>
      </c>
      <c r="D6" s="21">
        <v>870</v>
      </c>
      <c r="E6" s="32">
        <v>0.1</v>
      </c>
      <c r="F6" s="32">
        <v>0.1</v>
      </c>
      <c r="G6" s="19">
        <v>12</v>
      </c>
      <c r="H6" s="49">
        <f>B6*(2+E6+F6)*(C6*D6)*G6</f>
        <v>413424</v>
      </c>
      <c r="I6" s="15"/>
      <c r="J6" s="15"/>
    </row>
    <row r="7" spans="1:10">
      <c r="A7" s="22" t="s">
        <v>118</v>
      </c>
      <c r="B7" s="19">
        <v>1</v>
      </c>
      <c r="C7" s="51">
        <v>18</v>
      </c>
      <c r="D7" s="21">
        <v>870</v>
      </c>
      <c r="E7" s="32">
        <v>0.1</v>
      </c>
      <c r="F7" s="32">
        <v>0.1</v>
      </c>
      <c r="G7" s="19">
        <v>12</v>
      </c>
      <c r="H7" s="49">
        <f>B7*(2+E7+F7)*(C7*D7)*G7</f>
        <v>413424</v>
      </c>
      <c r="I7" s="15"/>
      <c r="J7" s="15"/>
    </row>
    <row r="8" spans="1:10">
      <c r="A8" s="45" t="s">
        <v>97</v>
      </c>
      <c r="B8" s="41">
        <v>1</v>
      </c>
      <c r="C8" s="44">
        <v>12</v>
      </c>
      <c r="D8" s="21">
        <v>870</v>
      </c>
      <c r="E8" s="42"/>
      <c r="F8" s="42">
        <v>0.1</v>
      </c>
      <c r="G8" s="19">
        <v>12</v>
      </c>
      <c r="H8" s="49">
        <f>B8*(2+E8+F8)*(C8*D8)*G8</f>
        <v>263088</v>
      </c>
      <c r="I8" s="15"/>
    </row>
    <row r="9" spans="1:10">
      <c r="A9" s="22" t="s">
        <v>119</v>
      </c>
      <c r="B9" s="19">
        <f>SUM(B6:B8)</f>
        <v>3</v>
      </c>
      <c r="C9" s="51"/>
      <c r="D9" s="21"/>
      <c r="E9" s="32"/>
      <c r="F9" s="32"/>
      <c r="G9" s="19"/>
      <c r="H9" s="49">
        <f>SUM(H6:H8)</f>
        <v>1089936</v>
      </c>
      <c r="I9" s="15"/>
      <c r="J9" s="15"/>
    </row>
    <row r="10" spans="1:10" ht="13.8" thickBot="1">
      <c r="A10" s="22" t="s">
        <v>119</v>
      </c>
      <c r="B10" s="39"/>
      <c r="C10" s="38"/>
      <c r="D10" s="37">
        <v>0.26200000000000001</v>
      </c>
      <c r="E10" s="36"/>
      <c r="F10" s="36"/>
      <c r="G10" s="35"/>
      <c r="H10" s="34">
        <f>H9*D10</f>
        <v>285563.23200000002</v>
      </c>
      <c r="I10" s="15"/>
      <c r="J10" s="17">
        <f>H9+H10</f>
        <v>1375499.2320000001</v>
      </c>
    </row>
    <row r="11" spans="1:10">
      <c r="A11" s="27"/>
      <c r="B11" s="19"/>
      <c r="C11" s="51"/>
      <c r="D11" s="21"/>
      <c r="E11" s="32"/>
      <c r="F11" s="32"/>
      <c r="G11" s="19"/>
      <c r="H11" s="49"/>
      <c r="I11" s="15"/>
      <c r="J11" s="15"/>
    </row>
    <row r="12" spans="1:10" ht="13.8" thickBot="1">
      <c r="A12" s="66"/>
      <c r="B12" s="39"/>
      <c r="C12" s="38"/>
      <c r="D12" s="37"/>
      <c r="E12" s="36"/>
      <c r="F12" s="36"/>
      <c r="G12" s="35"/>
      <c r="H12" s="34"/>
      <c r="I12" s="15"/>
      <c r="J12" s="17"/>
    </row>
    <row r="13" spans="1:10" ht="13.8" thickBot="1">
      <c r="B13" s="28"/>
      <c r="C13" s="65"/>
      <c r="E13" s="33"/>
      <c r="F13" s="33"/>
      <c r="G13" s="28"/>
      <c r="I13" s="15"/>
    </row>
    <row r="14" spans="1:10" ht="13.8" thickBot="1">
      <c r="A14" s="64" t="s">
        <v>110</v>
      </c>
      <c r="B14" s="64" t="s">
        <v>109</v>
      </c>
      <c r="C14" s="64" t="s">
        <v>108</v>
      </c>
      <c r="D14" s="63" t="s">
        <v>107</v>
      </c>
      <c r="E14" s="62" t="s">
        <v>106</v>
      </c>
      <c r="F14" s="62" t="s">
        <v>105</v>
      </c>
      <c r="G14" s="61" t="s">
        <v>104</v>
      </c>
      <c r="H14" s="60" t="s">
        <v>76</v>
      </c>
      <c r="I14" s="15"/>
    </row>
    <row r="15" spans="1:10">
      <c r="A15" s="59" t="s">
        <v>103</v>
      </c>
      <c r="B15" s="56">
        <v>1</v>
      </c>
      <c r="C15" s="56">
        <v>24</v>
      </c>
      <c r="D15" s="58">
        <v>870</v>
      </c>
      <c r="E15" s="57">
        <v>0.2</v>
      </c>
      <c r="F15" s="57">
        <v>0.25</v>
      </c>
      <c r="G15" s="56">
        <v>12</v>
      </c>
      <c r="H15" s="55">
        <f>(B15*2+E15+F15)*(C15*D15)*G15</f>
        <v>613872.00000000012</v>
      </c>
      <c r="I15" s="15"/>
    </row>
    <row r="16" spans="1:10" ht="15.6" thickBot="1">
      <c r="A16" s="39" t="s">
        <v>103</v>
      </c>
      <c r="B16" s="39"/>
      <c r="C16" s="38"/>
      <c r="D16" s="37">
        <v>0.26200000000000001</v>
      </c>
      <c r="E16" s="36"/>
      <c r="F16" s="36"/>
      <c r="G16" s="35">
        <v>12</v>
      </c>
      <c r="H16" s="77">
        <f>H15*D16</f>
        <v>160834.46400000004</v>
      </c>
      <c r="I16" s="15"/>
      <c r="J16" s="17">
        <f>H16+H15</f>
        <v>774706.46400000015</v>
      </c>
    </row>
    <row r="17" spans="1:10" ht="15">
      <c r="A17" s="73"/>
      <c r="B17" s="86"/>
      <c r="C17" s="80"/>
      <c r="D17" s="87"/>
      <c r="E17" s="82"/>
      <c r="F17" s="82"/>
      <c r="G17" s="83"/>
      <c r="H17" s="88"/>
      <c r="I17" s="15"/>
      <c r="J17" s="17"/>
    </row>
    <row r="18" spans="1:10">
      <c r="A18" s="29" t="s">
        <v>102</v>
      </c>
      <c r="B18" s="56">
        <v>1</v>
      </c>
      <c r="C18" s="76">
        <v>20</v>
      </c>
      <c r="D18" s="58">
        <v>870</v>
      </c>
      <c r="E18" s="57">
        <v>0.2</v>
      </c>
      <c r="F18" s="57">
        <v>0.15</v>
      </c>
      <c r="G18" s="56">
        <v>12</v>
      </c>
      <c r="H18" s="55">
        <f t="shared" ref="H18:H24" si="0">B18*(2+E18+F18)*(C18*D18)*G18</f>
        <v>490680</v>
      </c>
      <c r="I18" s="15"/>
    </row>
    <row r="19" spans="1:10">
      <c r="A19" s="27" t="s">
        <v>101</v>
      </c>
      <c r="B19" s="41">
        <v>1</v>
      </c>
      <c r="C19" s="44">
        <v>20</v>
      </c>
      <c r="D19" s="43">
        <v>870</v>
      </c>
      <c r="E19" s="42">
        <v>0.2</v>
      </c>
      <c r="F19" s="42">
        <v>0.1</v>
      </c>
      <c r="G19" s="19">
        <v>12</v>
      </c>
      <c r="H19" s="49">
        <f>B19*(2+E19+F19)*(C19*D19)*G19</f>
        <v>480240.00000000012</v>
      </c>
      <c r="I19" s="15"/>
    </row>
    <row r="20" spans="1:10">
      <c r="A20" s="45" t="s">
        <v>100</v>
      </c>
      <c r="B20" s="41">
        <v>1</v>
      </c>
      <c r="C20" s="44">
        <v>18</v>
      </c>
      <c r="D20" s="43">
        <v>870</v>
      </c>
      <c r="E20" s="42">
        <v>0.2</v>
      </c>
      <c r="F20" s="42">
        <v>0.1</v>
      </c>
      <c r="G20" s="19">
        <v>12</v>
      </c>
      <c r="H20" s="49">
        <f t="shared" si="0"/>
        <v>432216.00000000012</v>
      </c>
      <c r="I20" s="15"/>
      <c r="J20" s="15"/>
    </row>
    <row r="21" spans="1:10">
      <c r="A21" s="45" t="s">
        <v>100</v>
      </c>
      <c r="B21" s="41">
        <v>1</v>
      </c>
      <c r="C21" s="44">
        <v>18</v>
      </c>
      <c r="D21" s="43">
        <v>870</v>
      </c>
      <c r="E21" s="42">
        <v>0.2</v>
      </c>
      <c r="F21" s="42">
        <v>0.15</v>
      </c>
      <c r="G21" s="19">
        <v>12</v>
      </c>
      <c r="H21" s="49">
        <f>B21*(2+E21+F21)*(C21*D21)*G21</f>
        <v>441612</v>
      </c>
      <c r="I21" s="15"/>
      <c r="J21" s="15"/>
    </row>
    <row r="22" spans="1:10">
      <c r="A22" s="45" t="s">
        <v>99</v>
      </c>
      <c r="B22" s="41">
        <v>1</v>
      </c>
      <c r="C22" s="44">
        <v>16</v>
      </c>
      <c r="D22" s="21">
        <v>870</v>
      </c>
      <c r="E22" s="50">
        <f>(10*0.5)%</f>
        <v>0.05</v>
      </c>
      <c r="F22" s="42">
        <v>0.15</v>
      </c>
      <c r="G22" s="19">
        <v>12</v>
      </c>
      <c r="H22" s="49">
        <f t="shared" si="0"/>
        <v>367487.99999999994</v>
      </c>
      <c r="I22" s="15"/>
    </row>
    <row r="23" spans="1:10">
      <c r="A23" s="45" t="s">
        <v>99</v>
      </c>
      <c r="B23" s="41">
        <v>1</v>
      </c>
      <c r="C23" s="44">
        <v>16</v>
      </c>
      <c r="D23" s="21">
        <v>870</v>
      </c>
      <c r="E23" s="50">
        <v>0.2</v>
      </c>
      <c r="F23" s="42">
        <v>0.25</v>
      </c>
      <c r="G23" s="19">
        <v>12</v>
      </c>
      <c r="H23" s="49">
        <f>B23*(2+E23+F23)*(C23*D23)*G23</f>
        <v>409248</v>
      </c>
      <c r="I23" s="15"/>
    </row>
    <row r="24" spans="1:10">
      <c r="A24" s="45" t="s">
        <v>98</v>
      </c>
      <c r="B24" s="41">
        <v>1</v>
      </c>
      <c r="C24" s="44">
        <v>14</v>
      </c>
      <c r="D24" s="21">
        <v>870</v>
      </c>
      <c r="E24" s="42"/>
      <c r="F24" s="42">
        <v>0.1</v>
      </c>
      <c r="G24" s="19">
        <v>12</v>
      </c>
      <c r="H24" s="49">
        <f t="shared" si="0"/>
        <v>306936</v>
      </c>
      <c r="I24" s="15"/>
    </row>
    <row r="25" spans="1:10">
      <c r="A25" s="45" t="s">
        <v>96</v>
      </c>
      <c r="B25" s="48">
        <v>2</v>
      </c>
      <c r="C25" s="44"/>
      <c r="D25" s="47">
        <f>20760+9100</f>
        <v>29860</v>
      </c>
      <c r="E25" s="42"/>
      <c r="F25" s="42"/>
      <c r="G25" s="19">
        <v>12</v>
      </c>
      <c r="H25" s="46">
        <f>D25*G25</f>
        <v>358320</v>
      </c>
      <c r="I25" s="15"/>
    </row>
    <row r="26" spans="1:10">
      <c r="A26" s="45"/>
      <c r="B26" s="48"/>
      <c r="C26" s="44"/>
      <c r="D26" s="74"/>
      <c r="E26" s="42"/>
      <c r="F26" s="42"/>
      <c r="G26" s="41"/>
      <c r="H26" s="75">
        <f>SUM(H18:H25)</f>
        <v>3286740</v>
      </c>
      <c r="I26" s="15"/>
    </row>
    <row r="27" spans="1:10" ht="13.8" thickBot="1">
      <c r="A27" s="40" t="s">
        <v>94</v>
      </c>
      <c r="B27" s="39"/>
      <c r="C27" s="38"/>
      <c r="D27" s="37">
        <v>0.26200000000000001</v>
      </c>
      <c r="E27" s="36"/>
      <c r="F27" s="36"/>
      <c r="G27" s="35">
        <v>12</v>
      </c>
      <c r="H27" s="85">
        <f>H26*D27</f>
        <v>861125.88</v>
      </c>
      <c r="I27" s="15"/>
      <c r="J27" s="17">
        <f>H27+H26</f>
        <v>4147865.88</v>
      </c>
    </row>
    <row r="28" spans="1:10">
      <c r="A28" s="78"/>
      <c r="B28" s="79"/>
      <c r="C28" s="80"/>
      <c r="D28" s="81"/>
      <c r="E28" s="82"/>
      <c r="F28" s="82"/>
      <c r="G28" s="83"/>
      <c r="H28" s="84"/>
      <c r="I28" s="15"/>
    </row>
    <row r="29" spans="1:10">
      <c r="A29" s="45" t="s">
        <v>95</v>
      </c>
      <c r="B29" s="41"/>
      <c r="C29" s="44"/>
      <c r="D29" s="43"/>
      <c r="E29" s="42"/>
      <c r="F29" s="42"/>
      <c r="G29" s="41"/>
      <c r="H29" s="49">
        <f>H30+H31</f>
        <v>396575.92800000001</v>
      </c>
      <c r="I29" s="15"/>
    </row>
    <row r="30" spans="1:10">
      <c r="A30" s="45" t="s">
        <v>98</v>
      </c>
      <c r="B30" s="41">
        <v>1</v>
      </c>
      <c r="C30" s="44">
        <v>14</v>
      </c>
      <c r="D30" s="43">
        <v>870</v>
      </c>
      <c r="E30" s="42"/>
      <c r="F30" s="42">
        <v>0.15</v>
      </c>
      <c r="G30" s="41">
        <f>12</f>
        <v>12</v>
      </c>
      <c r="H30" s="49">
        <f>B30*(2+E30+F30)*(C30*D30)*G30</f>
        <v>314244</v>
      </c>
      <c r="I30" s="15"/>
      <c r="J30" s="15"/>
    </row>
    <row r="31" spans="1:10" ht="13.8" thickBot="1">
      <c r="A31" s="40"/>
      <c r="B31" s="35"/>
      <c r="C31" s="38"/>
      <c r="D31" s="89">
        <v>0.26200000000000001</v>
      </c>
      <c r="E31" s="36"/>
      <c r="F31" s="36"/>
      <c r="G31" s="35">
        <v>12</v>
      </c>
      <c r="H31" s="85">
        <f>H30*D31</f>
        <v>82331.928</v>
      </c>
      <c r="I31" s="15"/>
      <c r="J31" s="17">
        <f>H30+H31</f>
        <v>396575.92800000001</v>
      </c>
    </row>
    <row r="32" spans="1:10">
      <c r="A32" s="90" t="s">
        <v>115</v>
      </c>
      <c r="B32" s="91"/>
      <c r="C32" s="92"/>
      <c r="D32" s="93"/>
      <c r="E32" s="94"/>
      <c r="F32" s="94"/>
      <c r="G32" s="91"/>
      <c r="H32" s="95">
        <f>H15+H26+H29</f>
        <v>4297187.9280000003</v>
      </c>
      <c r="I32" s="15"/>
      <c r="J32" s="17"/>
    </row>
    <row r="33" spans="1:10">
      <c r="A33" s="96" t="s">
        <v>116</v>
      </c>
      <c r="B33" s="97"/>
      <c r="C33" s="98"/>
      <c r="D33" s="99"/>
      <c r="E33" s="100"/>
      <c r="F33" s="100"/>
      <c r="G33" s="97"/>
      <c r="H33" s="101">
        <f>H16+H27+H31</f>
        <v>1104292.2720000001</v>
      </c>
      <c r="I33" s="15"/>
      <c r="J33" s="17">
        <f>H32+H33</f>
        <v>5401480.2000000002</v>
      </c>
    </row>
    <row r="34" spans="1:10">
      <c r="A34" s="12">
        <v>221</v>
      </c>
      <c r="C34" s="28"/>
      <c r="E34" s="33"/>
      <c r="F34" s="33"/>
      <c r="G34" s="28"/>
    </row>
    <row r="35" spans="1:10">
      <c r="A35" s="24" t="s">
        <v>122</v>
      </c>
      <c r="B35" s="23">
        <v>3000</v>
      </c>
      <c r="C35" s="19"/>
      <c r="D35" s="21"/>
      <c r="E35" s="32"/>
      <c r="F35" s="32"/>
      <c r="G35" s="19">
        <v>12</v>
      </c>
      <c r="H35" s="18">
        <f>B35*G35</f>
        <v>36000</v>
      </c>
    </row>
    <row r="36" spans="1:10">
      <c r="A36" s="24" t="s">
        <v>93</v>
      </c>
      <c r="B36" s="23">
        <v>6850</v>
      </c>
      <c r="C36" s="22"/>
      <c r="D36" s="21"/>
      <c r="E36" s="20"/>
      <c r="F36" s="20"/>
      <c r="G36" s="19">
        <v>12</v>
      </c>
      <c r="H36" s="18">
        <f>B36*G36</f>
        <v>82200</v>
      </c>
    </row>
    <row r="37" spans="1:10">
      <c r="A37" s="24" t="s">
        <v>92</v>
      </c>
      <c r="B37" s="23">
        <v>500</v>
      </c>
      <c r="C37" s="22"/>
      <c r="D37" s="21"/>
      <c r="E37" s="20"/>
      <c r="F37" s="20"/>
      <c r="G37" s="19">
        <v>12</v>
      </c>
      <c r="H37" s="18">
        <f>B37*G37</f>
        <v>6000</v>
      </c>
    </row>
    <row r="38" spans="1:10">
      <c r="A38" s="22"/>
      <c r="B38" s="23"/>
      <c r="C38" s="22"/>
      <c r="D38" s="21"/>
      <c r="E38" s="20"/>
      <c r="F38" s="20"/>
      <c r="G38" s="22"/>
      <c r="H38" s="101">
        <f>SUM(H35:H37)</f>
        <v>124200</v>
      </c>
      <c r="J38" s="15">
        <f>H39</f>
        <v>0</v>
      </c>
    </row>
    <row r="39" spans="1:10">
      <c r="A39" s="12">
        <v>222</v>
      </c>
      <c r="B39" s="25"/>
      <c r="H39" s="18"/>
    </row>
    <row r="40" spans="1:10">
      <c r="A40" s="24" t="s">
        <v>77</v>
      </c>
      <c r="B40" s="23">
        <v>6000</v>
      </c>
      <c r="C40" s="22"/>
      <c r="D40" s="21"/>
      <c r="E40" s="20"/>
      <c r="F40" s="20"/>
      <c r="G40" s="19">
        <v>12</v>
      </c>
      <c r="H40" s="18">
        <f>H41+H42</f>
        <v>72000</v>
      </c>
    </row>
    <row r="41" spans="1:10">
      <c r="A41" s="29" t="s">
        <v>120</v>
      </c>
      <c r="B41" s="25"/>
      <c r="G41" s="28">
        <v>1</v>
      </c>
      <c r="H41" s="11">
        <f>B41*G41</f>
        <v>0</v>
      </c>
    </row>
    <row r="42" spans="1:10">
      <c r="A42" s="24" t="s">
        <v>91</v>
      </c>
      <c r="B42" s="23">
        <v>6000</v>
      </c>
      <c r="C42" s="22"/>
      <c r="D42" s="21"/>
      <c r="E42" s="20"/>
      <c r="F42" s="20"/>
      <c r="G42" s="19">
        <v>12</v>
      </c>
      <c r="H42" s="18">
        <f>B42*G42</f>
        <v>72000</v>
      </c>
    </row>
    <row r="43" spans="1:10" ht="12" customHeight="1">
      <c r="A43" s="12">
        <v>223</v>
      </c>
      <c r="B43" s="25"/>
      <c r="H43" s="18"/>
    </row>
    <row r="44" spans="1:10">
      <c r="A44" s="24" t="s">
        <v>90</v>
      </c>
      <c r="B44" s="23"/>
      <c r="C44" s="22"/>
      <c r="D44" s="31">
        <v>4715</v>
      </c>
      <c r="E44" s="20"/>
      <c r="F44" s="30"/>
      <c r="G44" s="19">
        <v>12</v>
      </c>
      <c r="H44" s="11">
        <f>D44*G44</f>
        <v>56580</v>
      </c>
    </row>
    <row r="45" spans="1:10">
      <c r="A45" s="24" t="s">
        <v>89</v>
      </c>
      <c r="B45" s="23"/>
      <c r="C45" s="22"/>
      <c r="D45" s="31">
        <v>5950</v>
      </c>
      <c r="E45" s="20"/>
      <c r="F45" s="30"/>
      <c r="G45" s="19">
        <v>12</v>
      </c>
      <c r="H45" s="18">
        <f>D45*G45</f>
        <v>71400</v>
      </c>
      <c r="I45" s="15"/>
    </row>
    <row r="46" spans="1:10" ht="13.8" thickBot="1">
      <c r="B46" s="25"/>
      <c r="H46" s="18">
        <f>SUM(H44:H45)</f>
        <v>127980</v>
      </c>
      <c r="J46" s="15">
        <f>H47</f>
        <v>0</v>
      </c>
    </row>
    <row r="47" spans="1:10" ht="13.8" thickBot="1">
      <c r="A47" s="12">
        <v>225</v>
      </c>
      <c r="B47" s="25"/>
      <c r="H47" s="26"/>
    </row>
    <row r="48" spans="1:10">
      <c r="A48" s="24" t="s">
        <v>88</v>
      </c>
      <c r="B48" s="23">
        <f>40000</f>
        <v>40000</v>
      </c>
      <c r="C48" s="22"/>
      <c r="D48" s="21"/>
      <c r="E48" s="20"/>
      <c r="F48" s="20"/>
      <c r="G48" s="19">
        <v>1</v>
      </c>
      <c r="H48" s="11">
        <f>B48</f>
        <v>40000</v>
      </c>
    </row>
    <row r="49" spans="1:10">
      <c r="A49" s="24" t="s">
        <v>87</v>
      </c>
      <c r="B49" s="23">
        <f>5000*1.1</f>
        <v>5500</v>
      </c>
      <c r="C49" s="22"/>
      <c r="D49" s="21"/>
      <c r="E49" s="20"/>
      <c r="F49" s="20"/>
      <c r="G49" s="19">
        <v>12</v>
      </c>
      <c r="H49" s="18">
        <f>B49*G49</f>
        <v>66000</v>
      </c>
    </row>
    <row r="50" spans="1:10">
      <c r="A50" s="29"/>
      <c r="B50" s="25"/>
      <c r="G50" s="28"/>
      <c r="H50" s="18">
        <f>SUM(H48:H49)</f>
        <v>106000</v>
      </c>
      <c r="J50" s="15">
        <f>H51</f>
        <v>0</v>
      </c>
    </row>
    <row r="51" spans="1:10">
      <c r="A51" s="12">
        <v>226</v>
      </c>
      <c r="B51" s="25"/>
    </row>
    <row r="52" spans="1:10">
      <c r="A52" s="24" t="s">
        <v>86</v>
      </c>
      <c r="B52" s="23">
        <f>10000</f>
        <v>10000</v>
      </c>
      <c r="C52" s="22"/>
      <c r="D52" s="21"/>
      <c r="E52" s="20"/>
      <c r="F52" s="20"/>
      <c r="G52" s="19">
        <v>12</v>
      </c>
      <c r="H52" s="18">
        <f>B52*G52</f>
        <v>120000</v>
      </c>
    </row>
    <row r="53" spans="1:10">
      <c r="A53" s="24" t="s">
        <v>86</v>
      </c>
      <c r="B53" s="23">
        <v>0</v>
      </c>
      <c r="C53" s="22"/>
      <c r="D53" s="21"/>
      <c r="E53" s="20"/>
      <c r="F53" s="20"/>
      <c r="G53" s="19">
        <v>7</v>
      </c>
      <c r="H53" s="18">
        <f t="shared" ref="H53:H58" si="1">B53*G53</f>
        <v>0</v>
      </c>
    </row>
    <row r="54" spans="1:10">
      <c r="A54" s="24" t="s">
        <v>85</v>
      </c>
      <c r="B54" s="23">
        <v>2310</v>
      </c>
      <c r="C54" s="22"/>
      <c r="D54" s="21"/>
      <c r="E54" s="20"/>
      <c r="F54" s="20"/>
      <c r="G54" s="19">
        <v>12</v>
      </c>
      <c r="H54" s="18">
        <f t="shared" si="1"/>
        <v>27720</v>
      </c>
    </row>
    <row r="55" spans="1:10">
      <c r="A55" s="24" t="s">
        <v>84</v>
      </c>
      <c r="B55" s="23">
        <v>10230</v>
      </c>
      <c r="C55" s="22"/>
      <c r="D55" s="21"/>
      <c r="E55" s="20"/>
      <c r="F55" s="20"/>
      <c r="G55" s="19">
        <v>12</v>
      </c>
      <c r="H55" s="18">
        <f>B55*G55+4400+25000-100</f>
        <v>152060</v>
      </c>
    </row>
    <row r="56" spans="1:10">
      <c r="A56" s="24" t="s">
        <v>83</v>
      </c>
      <c r="B56" s="23">
        <v>5500</v>
      </c>
      <c r="C56" s="22"/>
      <c r="D56" s="21"/>
      <c r="E56" s="20"/>
      <c r="F56" s="20"/>
      <c r="G56" s="19">
        <v>12</v>
      </c>
      <c r="H56" s="18">
        <f t="shared" si="1"/>
        <v>66000</v>
      </c>
    </row>
    <row r="57" spans="1:10">
      <c r="A57" s="24" t="s">
        <v>82</v>
      </c>
      <c r="B57" s="23">
        <v>4400</v>
      </c>
      <c r="C57" s="22"/>
      <c r="D57" s="21"/>
      <c r="E57" s="20"/>
      <c r="F57" s="20"/>
      <c r="G57" s="19">
        <v>1</v>
      </c>
      <c r="H57" s="18">
        <f t="shared" si="1"/>
        <v>4400</v>
      </c>
    </row>
    <row r="58" spans="1:10" ht="13.8" thickBot="1">
      <c r="A58" s="27" t="s">
        <v>81</v>
      </c>
      <c r="B58" s="23">
        <f>200000</f>
        <v>200000</v>
      </c>
      <c r="C58" s="22"/>
      <c r="D58" s="21"/>
      <c r="E58" s="20"/>
      <c r="F58" s="20"/>
      <c r="G58" s="19">
        <v>1</v>
      </c>
      <c r="H58" s="18">
        <f t="shared" si="1"/>
        <v>200000</v>
      </c>
    </row>
    <row r="59" spans="1:10" ht="13.8" thickBot="1">
      <c r="B59" s="25"/>
      <c r="H59" s="26">
        <f>SUM(H52:H58)</f>
        <v>570180</v>
      </c>
      <c r="J59" s="15">
        <f>H60</f>
        <v>0</v>
      </c>
    </row>
    <row r="60" spans="1:10" ht="13.8" thickBot="1">
      <c r="A60" s="12">
        <v>290</v>
      </c>
      <c r="B60" s="25"/>
      <c r="H60" s="26"/>
    </row>
    <row r="61" spans="1:10">
      <c r="A61" s="24" t="s">
        <v>80</v>
      </c>
      <c r="B61" s="23">
        <v>20000</v>
      </c>
      <c r="C61" s="22"/>
      <c r="D61" s="21"/>
      <c r="E61" s="20"/>
      <c r="F61" s="20"/>
      <c r="G61" s="19">
        <v>1</v>
      </c>
      <c r="H61" s="11">
        <f>B61*G61</f>
        <v>20000</v>
      </c>
      <c r="J61" s="15">
        <f>H62</f>
        <v>0</v>
      </c>
    </row>
    <row r="62" spans="1:10">
      <c r="A62" s="12">
        <v>310</v>
      </c>
      <c r="B62" s="25"/>
      <c r="H62" s="18"/>
      <c r="I62" s="10">
        <v>200</v>
      </c>
      <c r="J62" s="17">
        <f>SUM(J38:J61)</f>
        <v>0</v>
      </c>
    </row>
    <row r="63" spans="1:10">
      <c r="A63" s="24" t="s">
        <v>79</v>
      </c>
      <c r="B63" s="102">
        <v>190000</v>
      </c>
      <c r="C63" s="22"/>
      <c r="D63" s="21"/>
      <c r="E63" s="20"/>
      <c r="F63" s="20"/>
      <c r="G63" s="19">
        <v>1</v>
      </c>
      <c r="H63" s="11">
        <f>B63*G63</f>
        <v>190000</v>
      </c>
      <c r="J63" s="15">
        <f>H64</f>
        <v>0</v>
      </c>
    </row>
    <row r="64" spans="1:10">
      <c r="A64" s="12">
        <v>340</v>
      </c>
      <c r="B64" s="25"/>
      <c r="H64" s="18"/>
    </row>
    <row r="65" spans="1:10">
      <c r="A65" s="24" t="s">
        <v>78</v>
      </c>
      <c r="B65" s="23">
        <v>210800</v>
      </c>
      <c r="C65" s="22"/>
      <c r="D65" s="21"/>
      <c r="E65" s="20"/>
      <c r="F65" s="20"/>
      <c r="G65" s="19">
        <v>1</v>
      </c>
      <c r="H65" s="11">
        <f>B65*G65</f>
        <v>210800</v>
      </c>
      <c r="J65" s="15">
        <f>H66</f>
        <v>0</v>
      </c>
    </row>
    <row r="66" spans="1:10">
      <c r="B66" s="16"/>
      <c r="H66" s="18"/>
      <c r="I66" s="10">
        <v>300</v>
      </c>
      <c r="J66" s="17">
        <f>SUM(J63:J65)</f>
        <v>0</v>
      </c>
    </row>
    <row r="67" spans="1:10">
      <c r="B67" s="16"/>
    </row>
    <row r="68" spans="1:10">
      <c r="B68" s="16"/>
      <c r="I68" s="10" t="s">
        <v>77</v>
      </c>
      <c r="J68" s="15">
        <f>J7+J10+J16+J31+J62+J66</f>
        <v>2546781.6240000003</v>
      </c>
    </row>
    <row r="70" spans="1:10">
      <c r="J70" s="15">
        <f>J68/1000</f>
        <v>2546.7816240000002</v>
      </c>
    </row>
    <row r="72" spans="1:10">
      <c r="J72" s="15">
        <f>6461.3-J70</f>
        <v>3914.518376</v>
      </c>
    </row>
  </sheetData>
  <mergeCells count="1">
    <mergeCell ref="F1:H1"/>
  </mergeCells>
  <phoneticPr fontId="0" type="noConversion"/>
  <pageMargins left="0.74803149606299213" right="0.74803149606299213" top="0.19685039370078741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S77"/>
  <sheetViews>
    <sheetView zoomScale="87" zoomScaleNormal="87" workbookViewId="0">
      <pane xSplit="2" ySplit="10" topLeftCell="C34" activePane="bottomRight" state="frozen"/>
      <selection activeCell="A5" sqref="A5"/>
      <selection pane="topRight" activeCell="C5" sqref="C5"/>
      <selection pane="bottomLeft" activeCell="A9" sqref="A9"/>
      <selection pane="bottomRight" activeCell="J56" sqref="J56"/>
    </sheetView>
  </sheetViews>
  <sheetFormatPr defaultColWidth="9.109375" defaultRowHeight="12.6"/>
  <cols>
    <col min="1" max="1" width="9.109375" style="1" customWidth="1"/>
    <col min="2" max="2" width="38.5546875" style="1" customWidth="1"/>
    <col min="3" max="3" width="51.44140625" style="2" customWidth="1"/>
    <col min="4" max="4" width="11.6640625" style="6" hidden="1" customWidth="1"/>
    <col min="5" max="5" width="10.88671875" style="2" hidden="1" customWidth="1"/>
    <col min="6" max="6" width="13.44140625" style="2" hidden="1" customWidth="1"/>
    <col min="7" max="7" width="15.88671875" style="2" hidden="1" customWidth="1"/>
    <col min="8" max="8" width="14" style="2" hidden="1" customWidth="1"/>
    <col min="9" max="9" width="16.5546875" style="2" hidden="1" customWidth="1"/>
    <col min="10" max="10" width="15.44140625" style="2" customWidth="1"/>
    <col min="11" max="11" width="12.6640625" style="2" hidden="1" customWidth="1"/>
    <col min="12" max="12" width="12" style="2" hidden="1" customWidth="1"/>
    <col min="13" max="13" width="10.109375" style="2" hidden="1" customWidth="1"/>
    <col min="14" max="16" width="0" style="2" hidden="1" customWidth="1"/>
    <col min="17" max="17" width="9.109375" style="2"/>
    <col min="18" max="18" width="10.109375" style="2" bestFit="1" customWidth="1"/>
    <col min="19" max="19" width="9.109375" style="245"/>
    <col min="20" max="16384" width="9.109375" style="2"/>
  </cols>
  <sheetData>
    <row r="1" spans="1:19" ht="21" customHeight="1">
      <c r="A1" s="117" t="s">
        <v>187</v>
      </c>
      <c r="B1" s="118"/>
      <c r="C1" s="532" t="s">
        <v>263</v>
      </c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</row>
    <row r="2" spans="1:19" ht="21" customHeight="1">
      <c r="A2" s="114"/>
      <c r="B2" s="119"/>
      <c r="C2" s="119"/>
      <c r="D2" s="119"/>
      <c r="E2" s="119"/>
      <c r="F2" s="119"/>
      <c r="G2" s="119"/>
      <c r="H2" s="119"/>
      <c r="I2" s="119"/>
      <c r="J2" s="120" t="s">
        <v>320</v>
      </c>
      <c r="K2" s="119"/>
      <c r="L2" s="119"/>
      <c r="M2" s="119"/>
      <c r="N2" s="119"/>
      <c r="O2" s="119"/>
      <c r="P2" s="119"/>
    </row>
    <row r="3" spans="1:19" ht="21" customHeight="1">
      <c r="A3" s="114"/>
      <c r="B3" s="119"/>
      <c r="C3" s="119"/>
      <c r="D3" s="119"/>
      <c r="E3" s="119"/>
      <c r="F3" s="119"/>
      <c r="G3" s="119"/>
      <c r="H3" s="119"/>
      <c r="I3" s="119"/>
      <c r="J3" s="120" t="s">
        <v>321</v>
      </c>
      <c r="K3" s="119"/>
      <c r="L3" s="119"/>
      <c r="M3" s="119"/>
      <c r="N3" s="119"/>
      <c r="O3" s="119"/>
      <c r="P3" s="119"/>
    </row>
    <row r="4" spans="1:19" ht="22.5" customHeight="1">
      <c r="A4" s="114"/>
      <c r="B4" s="114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</row>
    <row r="5" spans="1:19" ht="22.5" customHeight="1">
      <c r="A5" s="530" t="s">
        <v>313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</row>
    <row r="6" spans="1:19" ht="27.6" customHeight="1">
      <c r="A6" s="530" t="s">
        <v>322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</row>
    <row r="7" spans="1:19" ht="27.6" customHeight="1" thickBo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531" t="s">
        <v>302</v>
      </c>
      <c r="P7" s="531"/>
    </row>
    <row r="8" spans="1:19" s="7" customFormat="1" ht="61.5" customHeight="1" thickBot="1">
      <c r="A8" s="122" t="s">
        <v>0</v>
      </c>
      <c r="B8" s="122" t="s">
        <v>8</v>
      </c>
      <c r="C8" s="123" t="s">
        <v>1</v>
      </c>
      <c r="D8" s="124" t="s">
        <v>184</v>
      </c>
      <c r="E8" s="124" t="s">
        <v>188</v>
      </c>
      <c r="F8" s="124" t="s">
        <v>185</v>
      </c>
      <c r="G8" s="124" t="s">
        <v>237</v>
      </c>
      <c r="H8" s="124" t="s">
        <v>261</v>
      </c>
      <c r="I8" s="124" t="s">
        <v>216</v>
      </c>
      <c r="J8" s="124" t="s">
        <v>262</v>
      </c>
      <c r="K8" s="125" t="s">
        <v>214</v>
      </c>
      <c r="L8" s="126" t="s">
        <v>217</v>
      </c>
      <c r="M8" s="127" t="s">
        <v>298</v>
      </c>
      <c r="N8" s="127" t="s">
        <v>299</v>
      </c>
      <c r="O8" s="127" t="s">
        <v>300</v>
      </c>
      <c r="P8" s="127" t="s">
        <v>301</v>
      </c>
      <c r="S8" s="246"/>
    </row>
    <row r="9" spans="1:19" s="3" customFormat="1" ht="16.2" thickBot="1">
      <c r="A9" s="128" t="s">
        <v>2</v>
      </c>
      <c r="B9" s="129" t="s">
        <v>13</v>
      </c>
      <c r="C9" s="130" t="s">
        <v>271</v>
      </c>
      <c r="D9" s="131" t="e">
        <f>D10+D21+D24+D31+D35</f>
        <v>#REF!</v>
      </c>
      <c r="E9" s="131" t="e">
        <f>E10+E21+E24+E31+E35</f>
        <v>#REF!</v>
      </c>
      <c r="F9" s="131" t="e">
        <f>F10+F21+F24+F31+F35</f>
        <v>#REF!</v>
      </c>
      <c r="G9" s="131">
        <f t="shared" ref="G9:P9" si="0">G10+G21+G24+G35+G43</f>
        <v>29725.4</v>
      </c>
      <c r="H9" s="131">
        <f t="shared" si="0"/>
        <v>17464.399999999998</v>
      </c>
      <c r="I9" s="131">
        <f t="shared" si="0"/>
        <v>29091.899999999998</v>
      </c>
      <c r="J9" s="132">
        <f>J10+J21+J24+J35+J43+J39</f>
        <v>26445.599999999999</v>
      </c>
      <c r="K9" s="133">
        <f t="shared" si="0"/>
        <v>27354.59</v>
      </c>
      <c r="L9" s="134">
        <f t="shared" si="0"/>
        <v>28859.092449999996</v>
      </c>
      <c r="M9" s="135">
        <f t="shared" si="0"/>
        <v>8499.1666666666661</v>
      </c>
      <c r="N9" s="135">
        <f t="shared" si="0"/>
        <v>8499.1666666666661</v>
      </c>
      <c r="O9" s="135">
        <f t="shared" si="0"/>
        <v>8499.1666666666661</v>
      </c>
      <c r="P9" s="135">
        <f t="shared" si="0"/>
        <v>133.5</v>
      </c>
      <c r="S9" s="247"/>
    </row>
    <row r="10" spans="1:19" s="4" customFormat="1" ht="16.2" thickBot="1">
      <c r="A10" s="136" t="s">
        <v>6</v>
      </c>
      <c r="B10" s="137" t="s">
        <v>131</v>
      </c>
      <c r="C10" s="138" t="s">
        <v>4</v>
      </c>
      <c r="D10" s="139">
        <f t="shared" ref="D10:P10" si="1">D11+D18</f>
        <v>9631.4</v>
      </c>
      <c r="E10" s="139">
        <f t="shared" si="1"/>
        <v>6727.71</v>
      </c>
      <c r="F10" s="139">
        <f t="shared" si="1"/>
        <v>10213.75</v>
      </c>
      <c r="G10" s="139">
        <f t="shared" si="1"/>
        <v>18820</v>
      </c>
      <c r="H10" s="139">
        <f t="shared" si="1"/>
        <v>10036.199999999999</v>
      </c>
      <c r="I10" s="139">
        <f t="shared" si="1"/>
        <v>17432.899999999998</v>
      </c>
      <c r="J10" s="140">
        <f>J11+J18+J20</f>
        <v>15644</v>
      </c>
      <c r="K10" s="141">
        <f t="shared" si="1"/>
        <v>16771.415999999997</v>
      </c>
      <c r="L10" s="142">
        <f t="shared" si="1"/>
        <v>17693.843879999997</v>
      </c>
      <c r="M10" s="143">
        <f t="shared" si="1"/>
        <v>5188.5</v>
      </c>
      <c r="N10" s="143">
        <f t="shared" si="1"/>
        <v>5188.5</v>
      </c>
      <c r="O10" s="143">
        <f t="shared" si="1"/>
        <v>5188.5</v>
      </c>
      <c r="P10" s="143">
        <f t="shared" si="1"/>
        <v>62.5</v>
      </c>
      <c r="S10" s="248"/>
    </row>
    <row r="11" spans="1:19" s="6" customFormat="1" ht="39.9" customHeight="1">
      <c r="A11" s="144" t="s">
        <v>54</v>
      </c>
      <c r="B11" s="145" t="s">
        <v>211</v>
      </c>
      <c r="C11" s="146" t="s">
        <v>125</v>
      </c>
      <c r="D11" s="147">
        <f>D12+D15+D13+D16</f>
        <v>9391.4</v>
      </c>
      <c r="E11" s="147">
        <f>E12+E15+E13+E16</f>
        <v>6546.21</v>
      </c>
      <c r="F11" s="147">
        <f>F12+F15+F13+F16</f>
        <v>9941.5</v>
      </c>
      <c r="G11" s="147">
        <f>G12+G15+G13+G16+G17</f>
        <v>18620</v>
      </c>
      <c r="H11" s="147">
        <f>H12+H15+H13+H16+H17</f>
        <v>9812.9999999999982</v>
      </c>
      <c r="I11" s="147">
        <f>I12+I15+I13+I16+I17+I18</f>
        <v>17098.099999999999</v>
      </c>
      <c r="J11" s="148">
        <f>J12+J15+J13+J16+J17</f>
        <v>15404</v>
      </c>
      <c r="K11" s="149">
        <f>K12+K15+K13+K16+K17+K18</f>
        <v>16534.423999999999</v>
      </c>
      <c r="L11" s="150">
        <f>L12+L15+L13+L16+L17+L18</f>
        <v>17443.817319999998</v>
      </c>
      <c r="M11" s="151">
        <f>M12+M15+M13+M16+M17</f>
        <v>5113.833333333333</v>
      </c>
      <c r="N11" s="151">
        <f>N12+N15+N13+N16+N17</f>
        <v>5113.833333333333</v>
      </c>
      <c r="O11" s="151">
        <f>O12+O15+O13+O16+O17</f>
        <v>5113.833333333333</v>
      </c>
      <c r="P11" s="151">
        <f>P12+P15+P13+P16+P17</f>
        <v>62.5</v>
      </c>
      <c r="S11" s="249"/>
    </row>
    <row r="12" spans="1:19" s="6" customFormat="1" ht="39.9" customHeight="1">
      <c r="A12" s="144" t="s">
        <v>39</v>
      </c>
      <c r="B12" s="145" t="s">
        <v>167</v>
      </c>
      <c r="C12" s="146" t="s">
        <v>126</v>
      </c>
      <c r="D12" s="147">
        <v>6131.4</v>
      </c>
      <c r="E12" s="147">
        <v>3667.3</v>
      </c>
      <c r="F12" s="147">
        <f>E12/8*12</f>
        <v>5500.9500000000007</v>
      </c>
      <c r="G12" s="147">
        <v>17300</v>
      </c>
      <c r="H12" s="147">
        <v>8970.7999999999993</v>
      </c>
      <c r="I12" s="147">
        <v>15500</v>
      </c>
      <c r="J12" s="148">
        <v>12426</v>
      </c>
      <c r="K12" s="152">
        <f>J12*1.058</f>
        <v>13146.708000000001</v>
      </c>
      <c r="L12" s="153">
        <f>K12*1.055</f>
        <v>13869.77694</v>
      </c>
      <c r="M12" s="151">
        <f>J12/3</f>
        <v>4142</v>
      </c>
      <c r="N12" s="151">
        <f>J12/3</f>
        <v>4142</v>
      </c>
      <c r="O12" s="151">
        <f>J12/3</f>
        <v>4142</v>
      </c>
      <c r="P12" s="151">
        <v>0</v>
      </c>
      <c r="S12" s="249"/>
    </row>
    <row r="13" spans="1:19" s="6" customFormat="1" ht="60.75" hidden="1" customHeight="1">
      <c r="A13" s="144" t="s">
        <v>38</v>
      </c>
      <c r="B13" s="145" t="s">
        <v>168</v>
      </c>
      <c r="C13" s="146" t="s">
        <v>169</v>
      </c>
      <c r="D13" s="147">
        <v>2450</v>
      </c>
      <c r="E13" s="147">
        <v>2220.5</v>
      </c>
      <c r="F13" s="147">
        <f>E13/8*12</f>
        <v>3330.75</v>
      </c>
      <c r="G13" s="147"/>
      <c r="H13" s="147"/>
      <c r="I13" s="147">
        <f>H13/8*12</f>
        <v>0</v>
      </c>
      <c r="J13" s="148">
        <f t="shared" ref="J13:K47" si="2">I13*1.058</f>
        <v>0</v>
      </c>
      <c r="K13" s="152">
        <f t="shared" si="2"/>
        <v>0</v>
      </c>
      <c r="L13" s="153">
        <f t="shared" ref="L13:L47" si="3">K13*1.055</f>
        <v>0</v>
      </c>
      <c r="M13" s="147">
        <v>0</v>
      </c>
      <c r="N13" s="147">
        <v>0</v>
      </c>
      <c r="O13" s="147">
        <v>0</v>
      </c>
      <c r="P13" s="147">
        <v>0</v>
      </c>
      <c r="S13" s="249"/>
    </row>
    <row r="14" spans="1:19" s="6" customFormat="1" ht="39.9" customHeight="1">
      <c r="A14" s="144" t="s">
        <v>55</v>
      </c>
      <c r="B14" s="145" t="s">
        <v>238</v>
      </c>
      <c r="C14" s="146" t="s">
        <v>127</v>
      </c>
      <c r="D14" s="147"/>
      <c r="E14" s="147"/>
      <c r="F14" s="147"/>
      <c r="G14" s="147">
        <f>G15</f>
        <v>760</v>
      </c>
      <c r="H14" s="147">
        <f>H15</f>
        <v>824.4</v>
      </c>
      <c r="I14" s="147">
        <f>I15</f>
        <v>1236.5999999999999</v>
      </c>
      <c r="J14" s="148">
        <f>J15</f>
        <v>2728</v>
      </c>
      <c r="K14" s="152">
        <f t="shared" si="2"/>
        <v>2886.2240000000002</v>
      </c>
      <c r="L14" s="153">
        <f t="shared" si="3"/>
        <v>3044.96632</v>
      </c>
      <c r="M14" s="151">
        <f>M15</f>
        <v>909.33333333333337</v>
      </c>
      <c r="N14" s="151">
        <f>N15</f>
        <v>909.33333333333337</v>
      </c>
      <c r="O14" s="151">
        <f>O15</f>
        <v>909.33333333333337</v>
      </c>
      <c r="P14" s="151">
        <f>P15</f>
        <v>0</v>
      </c>
      <c r="S14" s="249"/>
    </row>
    <row r="15" spans="1:19" s="6" customFormat="1" ht="39.9" customHeight="1">
      <c r="A15" s="144" t="s">
        <v>155</v>
      </c>
      <c r="B15" s="145" t="s">
        <v>170</v>
      </c>
      <c r="C15" s="146" t="s">
        <v>127</v>
      </c>
      <c r="D15" s="147">
        <v>800</v>
      </c>
      <c r="E15" s="147">
        <v>733.2</v>
      </c>
      <c r="F15" s="147">
        <f>E15/8*12</f>
        <v>1099.8000000000002</v>
      </c>
      <c r="G15" s="147">
        <v>760</v>
      </c>
      <c r="H15" s="147">
        <v>824.4</v>
      </c>
      <c r="I15" s="147">
        <f t="shared" ref="I15:I20" si="4">H15/8*12</f>
        <v>1236.5999999999999</v>
      </c>
      <c r="J15" s="148">
        <v>2728</v>
      </c>
      <c r="K15" s="152">
        <f t="shared" si="2"/>
        <v>2886.2240000000002</v>
      </c>
      <c r="L15" s="153">
        <f t="shared" si="3"/>
        <v>3044.96632</v>
      </c>
      <c r="M15" s="151">
        <f>J15/3</f>
        <v>909.33333333333337</v>
      </c>
      <c r="N15" s="151">
        <f>J15/3</f>
        <v>909.33333333333337</v>
      </c>
      <c r="O15" s="151">
        <f>J15/3</f>
        <v>909.33333333333337</v>
      </c>
      <c r="P15" s="151">
        <v>0</v>
      </c>
      <c r="S15" s="249"/>
    </row>
    <row r="16" spans="1:19" s="6" customFormat="1" ht="39.9" hidden="1" customHeight="1">
      <c r="A16" s="144" t="s">
        <v>155</v>
      </c>
      <c r="B16" s="145" t="s">
        <v>171</v>
      </c>
      <c r="C16" s="146" t="s">
        <v>172</v>
      </c>
      <c r="D16" s="147">
        <v>10</v>
      </c>
      <c r="E16" s="147">
        <v>-74.790000000000006</v>
      </c>
      <c r="F16" s="147">
        <v>10</v>
      </c>
      <c r="G16" s="154"/>
      <c r="H16" s="154"/>
      <c r="I16" s="147">
        <f t="shared" si="4"/>
        <v>0</v>
      </c>
      <c r="J16" s="148">
        <f t="shared" si="2"/>
        <v>0</v>
      </c>
      <c r="K16" s="152">
        <f t="shared" si="2"/>
        <v>0</v>
      </c>
      <c r="L16" s="153">
        <f t="shared" si="3"/>
        <v>0</v>
      </c>
      <c r="M16" s="147">
        <v>0</v>
      </c>
      <c r="N16" s="147">
        <v>0</v>
      </c>
      <c r="O16" s="147">
        <v>0</v>
      </c>
      <c r="P16" s="147">
        <v>0</v>
      </c>
      <c r="S16" s="249"/>
    </row>
    <row r="17" spans="1:19" s="6" customFormat="1" ht="39.9" customHeight="1">
      <c r="A17" s="144" t="s">
        <v>210</v>
      </c>
      <c r="B17" s="145" t="s">
        <v>208</v>
      </c>
      <c r="C17" s="146" t="s">
        <v>209</v>
      </c>
      <c r="D17" s="147"/>
      <c r="E17" s="147"/>
      <c r="F17" s="147"/>
      <c r="G17" s="147">
        <v>560</v>
      </c>
      <c r="H17" s="147">
        <v>17.8</v>
      </c>
      <c r="I17" s="147">
        <f t="shared" si="4"/>
        <v>26.700000000000003</v>
      </c>
      <c r="J17" s="148">
        <v>250</v>
      </c>
      <c r="K17" s="152">
        <f t="shared" si="2"/>
        <v>264.5</v>
      </c>
      <c r="L17" s="153">
        <f t="shared" si="3"/>
        <v>279.04749999999996</v>
      </c>
      <c r="M17" s="151">
        <f>J17/4</f>
        <v>62.5</v>
      </c>
      <c r="N17" s="151">
        <f>J17/4</f>
        <v>62.5</v>
      </c>
      <c r="O17" s="151">
        <f>J17/4</f>
        <v>62.5</v>
      </c>
      <c r="P17" s="151">
        <f>J17/4</f>
        <v>62.5</v>
      </c>
      <c r="S17" s="249"/>
    </row>
    <row r="18" spans="1:19" s="6" customFormat="1" ht="39.9" customHeight="1">
      <c r="A18" s="144" t="s">
        <v>142</v>
      </c>
      <c r="B18" s="145" t="s">
        <v>213</v>
      </c>
      <c r="C18" s="146" t="s">
        <v>264</v>
      </c>
      <c r="D18" s="147">
        <f>D19+D20</f>
        <v>240</v>
      </c>
      <c r="E18" s="147">
        <f>E19+E20</f>
        <v>181.5</v>
      </c>
      <c r="F18" s="147">
        <f>E18/8*12</f>
        <v>272.25</v>
      </c>
      <c r="G18" s="147">
        <f>G19+G20</f>
        <v>200</v>
      </c>
      <c r="H18" s="147">
        <f>H19+H20</f>
        <v>223.2</v>
      </c>
      <c r="I18" s="147">
        <f t="shared" si="4"/>
        <v>334.79999999999995</v>
      </c>
      <c r="J18" s="148">
        <f>J19</f>
        <v>224</v>
      </c>
      <c r="K18" s="152">
        <f t="shared" si="2"/>
        <v>236.99200000000002</v>
      </c>
      <c r="L18" s="153">
        <f t="shared" si="3"/>
        <v>250.02656000000002</v>
      </c>
      <c r="M18" s="151">
        <f>M19</f>
        <v>74.666666666666671</v>
      </c>
      <c r="N18" s="151">
        <f>N19</f>
        <v>74.666666666666671</v>
      </c>
      <c r="O18" s="151">
        <f>O19</f>
        <v>74.666666666666671</v>
      </c>
      <c r="P18" s="151">
        <f>P19</f>
        <v>0</v>
      </c>
      <c r="S18" s="249"/>
    </row>
    <row r="19" spans="1:19" s="6" customFormat="1" ht="39.9" customHeight="1">
      <c r="A19" s="144" t="s">
        <v>154</v>
      </c>
      <c r="B19" s="145" t="s">
        <v>173</v>
      </c>
      <c r="C19" s="146" t="s">
        <v>264</v>
      </c>
      <c r="D19" s="147">
        <v>120</v>
      </c>
      <c r="E19" s="147">
        <v>130.5</v>
      </c>
      <c r="F19" s="147">
        <f>E19/8*12</f>
        <v>195.75</v>
      </c>
      <c r="G19" s="147">
        <v>200</v>
      </c>
      <c r="H19" s="147">
        <v>223.2</v>
      </c>
      <c r="I19" s="147">
        <f t="shared" si="4"/>
        <v>334.79999999999995</v>
      </c>
      <c r="J19" s="148">
        <v>224</v>
      </c>
      <c r="K19" s="152">
        <f t="shared" si="2"/>
        <v>236.99200000000002</v>
      </c>
      <c r="L19" s="153">
        <f t="shared" si="3"/>
        <v>250.02656000000002</v>
      </c>
      <c r="M19" s="151">
        <f>J19/3</f>
        <v>74.666666666666671</v>
      </c>
      <c r="N19" s="151">
        <f>J19/3</f>
        <v>74.666666666666671</v>
      </c>
      <c r="O19" s="151">
        <f>J19/3</f>
        <v>74.666666666666671</v>
      </c>
      <c r="P19" s="151">
        <v>0</v>
      </c>
      <c r="S19" s="249"/>
    </row>
    <row r="20" spans="1:19" s="4" customFormat="1" ht="45" customHeight="1" thickBot="1">
      <c r="A20" s="144" t="s">
        <v>199</v>
      </c>
      <c r="B20" s="145" t="s">
        <v>323</v>
      </c>
      <c r="C20" s="146" t="s">
        <v>324</v>
      </c>
      <c r="D20" s="147">
        <v>120</v>
      </c>
      <c r="E20" s="147">
        <v>51</v>
      </c>
      <c r="F20" s="147">
        <f>E20/8*12</f>
        <v>76.5</v>
      </c>
      <c r="G20" s="154"/>
      <c r="H20" s="147"/>
      <c r="I20" s="147">
        <f t="shared" si="4"/>
        <v>0</v>
      </c>
      <c r="J20" s="148">
        <v>16</v>
      </c>
      <c r="K20" s="152">
        <f t="shared" si="2"/>
        <v>16.928000000000001</v>
      </c>
      <c r="L20" s="153">
        <f t="shared" si="3"/>
        <v>17.85904</v>
      </c>
      <c r="M20" s="155"/>
      <c r="N20" s="155"/>
      <c r="O20" s="155"/>
      <c r="P20" s="155"/>
      <c r="S20" s="248"/>
    </row>
    <row r="21" spans="1:19" s="6" customFormat="1" ht="16.2" thickBot="1">
      <c r="A21" s="136" t="s">
        <v>3</v>
      </c>
      <c r="B21" s="137" t="s">
        <v>132</v>
      </c>
      <c r="C21" s="138" t="s">
        <v>5</v>
      </c>
      <c r="D21" s="139">
        <f>D22</f>
        <v>300</v>
      </c>
      <c r="E21" s="139">
        <f t="shared" ref="E21:P22" si="5">E22</f>
        <v>175</v>
      </c>
      <c r="F21" s="139">
        <f t="shared" si="5"/>
        <v>262.5</v>
      </c>
      <c r="G21" s="139">
        <f t="shared" si="5"/>
        <v>1600</v>
      </c>
      <c r="H21" s="139">
        <f t="shared" si="5"/>
        <v>950.7</v>
      </c>
      <c r="I21" s="139">
        <f t="shared" si="5"/>
        <v>1600</v>
      </c>
      <c r="J21" s="140">
        <f t="shared" si="5"/>
        <v>2985</v>
      </c>
      <c r="K21" s="156">
        <f t="shared" si="5"/>
        <v>3158.13</v>
      </c>
      <c r="L21" s="157">
        <f t="shared" si="5"/>
        <v>3331.8271500000001</v>
      </c>
      <c r="M21" s="143">
        <f t="shared" si="5"/>
        <v>995</v>
      </c>
      <c r="N21" s="143">
        <f t="shared" si="5"/>
        <v>995</v>
      </c>
      <c r="O21" s="143">
        <f t="shared" si="5"/>
        <v>995</v>
      </c>
      <c r="P21" s="143">
        <f t="shared" si="5"/>
        <v>0</v>
      </c>
      <c r="S21" s="249"/>
    </row>
    <row r="22" spans="1:19" ht="39.9" customHeight="1">
      <c r="A22" s="144" t="s">
        <v>56</v>
      </c>
      <c r="B22" s="145" t="s">
        <v>212</v>
      </c>
      <c r="C22" s="158" t="s">
        <v>47</v>
      </c>
      <c r="D22" s="147">
        <f>D23</f>
        <v>300</v>
      </c>
      <c r="E22" s="147">
        <v>175</v>
      </c>
      <c r="F22" s="147">
        <f t="shared" si="5"/>
        <v>262.5</v>
      </c>
      <c r="G22" s="147">
        <f t="shared" si="5"/>
        <v>1600</v>
      </c>
      <c r="H22" s="147">
        <f t="shared" si="5"/>
        <v>950.7</v>
      </c>
      <c r="I22" s="147">
        <f>I23</f>
        <v>1600</v>
      </c>
      <c r="J22" s="148">
        <f>J23</f>
        <v>2985</v>
      </c>
      <c r="K22" s="152">
        <f t="shared" si="2"/>
        <v>3158.13</v>
      </c>
      <c r="L22" s="153">
        <f t="shared" si="3"/>
        <v>3331.8271500000001</v>
      </c>
      <c r="M22" s="151">
        <f t="shared" si="5"/>
        <v>995</v>
      </c>
      <c r="N22" s="151">
        <f t="shared" si="5"/>
        <v>995</v>
      </c>
      <c r="O22" s="151">
        <f t="shared" si="5"/>
        <v>995</v>
      </c>
      <c r="P22" s="151">
        <f t="shared" si="5"/>
        <v>0</v>
      </c>
    </row>
    <row r="23" spans="1:19" s="6" customFormat="1" ht="53.4" thickBot="1">
      <c r="A23" s="144" t="s">
        <v>57</v>
      </c>
      <c r="B23" s="145" t="s">
        <v>44</v>
      </c>
      <c r="C23" s="146" t="s">
        <v>48</v>
      </c>
      <c r="D23" s="147">
        <v>300</v>
      </c>
      <c r="E23" s="147">
        <v>175</v>
      </c>
      <c r="F23" s="147">
        <f>E23/8*12</f>
        <v>262.5</v>
      </c>
      <c r="G23" s="147">
        <v>1600</v>
      </c>
      <c r="H23" s="147">
        <v>950.7</v>
      </c>
      <c r="I23" s="147">
        <v>1600</v>
      </c>
      <c r="J23" s="148">
        <f>1985+1000</f>
        <v>2985</v>
      </c>
      <c r="K23" s="152">
        <f t="shared" si="2"/>
        <v>3158.13</v>
      </c>
      <c r="L23" s="153">
        <f t="shared" si="3"/>
        <v>3331.8271500000001</v>
      </c>
      <c r="M23" s="151">
        <f>J23/3</f>
        <v>995</v>
      </c>
      <c r="N23" s="151">
        <f>J23/3</f>
        <v>995</v>
      </c>
      <c r="O23" s="151">
        <f>J23/3</f>
        <v>995</v>
      </c>
      <c r="P23" s="151">
        <v>0</v>
      </c>
      <c r="S23" s="249"/>
    </row>
    <row r="24" spans="1:19" s="6" customFormat="1" ht="40.200000000000003" thickBot="1">
      <c r="A24" s="136">
        <v>3</v>
      </c>
      <c r="B24" s="137" t="s">
        <v>14</v>
      </c>
      <c r="C24" s="138" t="s">
        <v>128</v>
      </c>
      <c r="D24" s="139" t="e">
        <f>#REF!+#REF!+D25+#REF!+#REF!</f>
        <v>#REF!</v>
      </c>
      <c r="E24" s="139" t="e">
        <f>#REF!+#REF!+E25+#REF!+#REF!</f>
        <v>#REF!</v>
      </c>
      <c r="F24" s="139" t="e">
        <f>#REF!+#REF!+F25+#REF!+#REF!</f>
        <v>#REF!</v>
      </c>
      <c r="G24" s="139">
        <f t="shared" ref="G24:L24" si="6">G29+G33</f>
        <v>9275.4</v>
      </c>
      <c r="H24" s="139">
        <f t="shared" si="6"/>
        <v>6457.7</v>
      </c>
      <c r="I24" s="139">
        <f t="shared" si="6"/>
        <v>10024</v>
      </c>
      <c r="J24" s="140">
        <f t="shared" si="6"/>
        <v>6746</v>
      </c>
      <c r="K24" s="156">
        <f t="shared" si="6"/>
        <v>7137.268</v>
      </c>
      <c r="L24" s="157">
        <f t="shared" si="6"/>
        <v>7529.8177400000004</v>
      </c>
      <c r="M24" s="159">
        <f>M29+M33</f>
        <v>2247.6666666666665</v>
      </c>
      <c r="N24" s="159">
        <f>N29+N33</f>
        <v>2247.6666666666665</v>
      </c>
      <c r="O24" s="159">
        <f>O29+O33</f>
        <v>2247.6666666666665</v>
      </c>
      <c r="P24" s="159">
        <f>P29+P33</f>
        <v>3</v>
      </c>
      <c r="S24" s="249"/>
    </row>
    <row r="25" spans="1:19" s="6" customFormat="1" ht="30" hidden="1" customHeight="1">
      <c r="A25" s="160"/>
      <c r="B25" s="161" t="s">
        <v>253</v>
      </c>
      <c r="C25" s="162" t="s">
        <v>254</v>
      </c>
      <c r="D25" s="147">
        <f>D30</f>
        <v>5500</v>
      </c>
      <c r="E25" s="147">
        <f>E30</f>
        <v>3350.4</v>
      </c>
      <c r="F25" s="147">
        <f>F30</f>
        <v>5025.6000000000004</v>
      </c>
      <c r="G25" s="154"/>
      <c r="H25" s="147">
        <f>H26</f>
        <v>0</v>
      </c>
      <c r="I25" s="147">
        <f>H25/8*12</f>
        <v>0</v>
      </c>
      <c r="J25" s="148">
        <f t="shared" si="2"/>
        <v>0</v>
      </c>
      <c r="K25" s="152">
        <f t="shared" si="2"/>
        <v>0</v>
      </c>
      <c r="L25" s="153">
        <f t="shared" si="3"/>
        <v>0</v>
      </c>
      <c r="M25" s="151">
        <f t="shared" ref="M25:P28" si="7">L25*1.058</f>
        <v>0</v>
      </c>
      <c r="N25" s="151">
        <f t="shared" si="7"/>
        <v>0</v>
      </c>
      <c r="O25" s="151">
        <f t="shared" si="7"/>
        <v>0</v>
      </c>
      <c r="P25" s="151">
        <f t="shared" si="7"/>
        <v>0</v>
      </c>
      <c r="S25" s="249"/>
    </row>
    <row r="26" spans="1:19" s="6" customFormat="1" ht="57.75" hidden="1" customHeight="1">
      <c r="A26" s="160"/>
      <c r="B26" s="161" t="s">
        <v>255</v>
      </c>
      <c r="C26" s="162" t="s">
        <v>256</v>
      </c>
      <c r="D26" s="147">
        <f>D30</f>
        <v>5500</v>
      </c>
      <c r="E26" s="147">
        <f>E30</f>
        <v>3350.4</v>
      </c>
      <c r="F26" s="147">
        <f>F30</f>
        <v>5025.6000000000004</v>
      </c>
      <c r="G26" s="154"/>
      <c r="H26" s="147">
        <f>H27</f>
        <v>0</v>
      </c>
      <c r="I26" s="147">
        <f>H26/8*12</f>
        <v>0</v>
      </c>
      <c r="J26" s="148">
        <f t="shared" si="2"/>
        <v>0</v>
      </c>
      <c r="K26" s="152">
        <f t="shared" si="2"/>
        <v>0</v>
      </c>
      <c r="L26" s="153">
        <f t="shared" si="3"/>
        <v>0</v>
      </c>
      <c r="M26" s="151">
        <f t="shared" si="7"/>
        <v>0</v>
      </c>
      <c r="N26" s="151">
        <f t="shared" si="7"/>
        <v>0</v>
      </c>
      <c r="O26" s="151">
        <f t="shared" si="7"/>
        <v>0</v>
      </c>
      <c r="P26" s="151">
        <f t="shared" si="7"/>
        <v>0</v>
      </c>
      <c r="S26" s="249"/>
    </row>
    <row r="27" spans="1:19" s="6" customFormat="1" ht="36" hidden="1" customHeight="1">
      <c r="A27" s="160"/>
      <c r="B27" s="161" t="s">
        <v>257</v>
      </c>
      <c r="C27" s="162" t="s">
        <v>258</v>
      </c>
      <c r="D27" s="147">
        <f>D30</f>
        <v>5500</v>
      </c>
      <c r="E27" s="147">
        <v>3350.4</v>
      </c>
      <c r="F27" s="147">
        <f>F30</f>
        <v>5025.6000000000004</v>
      </c>
      <c r="G27" s="154"/>
      <c r="H27" s="147">
        <f>H28</f>
        <v>0</v>
      </c>
      <c r="I27" s="147">
        <f>H27/8*12</f>
        <v>0</v>
      </c>
      <c r="J27" s="148">
        <f t="shared" si="2"/>
        <v>0</v>
      </c>
      <c r="K27" s="152">
        <f t="shared" si="2"/>
        <v>0</v>
      </c>
      <c r="L27" s="153">
        <f t="shared" si="3"/>
        <v>0</v>
      </c>
      <c r="M27" s="151">
        <f t="shared" si="7"/>
        <v>0</v>
      </c>
      <c r="N27" s="151">
        <f t="shared" si="7"/>
        <v>0</v>
      </c>
      <c r="O27" s="151">
        <f t="shared" si="7"/>
        <v>0</v>
      </c>
      <c r="P27" s="151">
        <f t="shared" si="7"/>
        <v>0</v>
      </c>
      <c r="S27" s="249"/>
    </row>
    <row r="28" spans="1:19" s="6" customFormat="1" ht="52.8" hidden="1">
      <c r="A28" s="160"/>
      <c r="B28" s="161" t="s">
        <v>259</v>
      </c>
      <c r="C28" s="162" t="s">
        <v>260</v>
      </c>
      <c r="D28" s="147">
        <v>5500</v>
      </c>
      <c r="E28" s="147">
        <v>3350.4</v>
      </c>
      <c r="F28" s="147">
        <f>E28/8*12</f>
        <v>5025.6000000000004</v>
      </c>
      <c r="G28" s="154"/>
      <c r="H28" s="147">
        <f>G28*1.05</f>
        <v>0</v>
      </c>
      <c r="I28" s="147">
        <f>H28/8*12</f>
        <v>0</v>
      </c>
      <c r="J28" s="148">
        <f t="shared" si="2"/>
        <v>0</v>
      </c>
      <c r="K28" s="152">
        <f t="shared" si="2"/>
        <v>0</v>
      </c>
      <c r="L28" s="153">
        <f t="shared" si="3"/>
        <v>0</v>
      </c>
      <c r="M28" s="151">
        <f t="shared" si="7"/>
        <v>0</v>
      </c>
      <c r="N28" s="151">
        <f t="shared" si="7"/>
        <v>0</v>
      </c>
      <c r="O28" s="151">
        <f t="shared" si="7"/>
        <v>0</v>
      </c>
      <c r="P28" s="151">
        <f t="shared" si="7"/>
        <v>0</v>
      </c>
      <c r="S28" s="249"/>
    </row>
    <row r="29" spans="1:19" s="6" customFormat="1" ht="65.099999999999994" customHeight="1">
      <c r="A29" s="144" t="s">
        <v>58</v>
      </c>
      <c r="B29" s="163" t="s">
        <v>140</v>
      </c>
      <c r="C29" s="146" t="s">
        <v>174</v>
      </c>
      <c r="D29" s="139"/>
      <c r="E29" s="139"/>
      <c r="F29" s="139"/>
      <c r="G29" s="147">
        <f t="shared" ref="G29:I31" si="8">G30</f>
        <v>9251.4</v>
      </c>
      <c r="H29" s="147">
        <f t="shared" si="8"/>
        <v>6445.7</v>
      </c>
      <c r="I29" s="147">
        <f t="shared" si="8"/>
        <v>10000</v>
      </c>
      <c r="J29" s="148">
        <f>J30</f>
        <v>6734</v>
      </c>
      <c r="K29" s="152">
        <f t="shared" si="2"/>
        <v>7124.5720000000001</v>
      </c>
      <c r="L29" s="153">
        <f t="shared" si="3"/>
        <v>7516.42346</v>
      </c>
      <c r="M29" s="151">
        <f t="shared" ref="M29:P31" si="9">M30</f>
        <v>2244.6666666666665</v>
      </c>
      <c r="N29" s="151">
        <f t="shared" si="9"/>
        <v>2244.6666666666665</v>
      </c>
      <c r="O29" s="151">
        <f t="shared" si="9"/>
        <v>2244.6666666666665</v>
      </c>
      <c r="P29" s="151">
        <f t="shared" si="9"/>
        <v>0</v>
      </c>
      <c r="S29" s="249"/>
    </row>
    <row r="30" spans="1:19" s="6" customFormat="1" ht="65.099999999999994" customHeight="1">
      <c r="A30" s="144" t="s">
        <v>59</v>
      </c>
      <c r="B30" s="163" t="s">
        <v>141</v>
      </c>
      <c r="C30" s="146" t="s">
        <v>129</v>
      </c>
      <c r="D30" s="147">
        <v>5500</v>
      </c>
      <c r="E30" s="147">
        <v>3350.4</v>
      </c>
      <c r="F30" s="147">
        <f>E30/8*12</f>
        <v>5025.6000000000004</v>
      </c>
      <c r="G30" s="147">
        <f t="shared" si="8"/>
        <v>9251.4</v>
      </c>
      <c r="H30" s="147">
        <f t="shared" si="8"/>
        <v>6445.7</v>
      </c>
      <c r="I30" s="147">
        <f>I31</f>
        <v>10000</v>
      </c>
      <c r="J30" s="148">
        <f>J31</f>
        <v>6734</v>
      </c>
      <c r="K30" s="152">
        <f t="shared" si="2"/>
        <v>7124.5720000000001</v>
      </c>
      <c r="L30" s="153">
        <f t="shared" si="3"/>
        <v>7516.42346</v>
      </c>
      <c r="M30" s="151">
        <f t="shared" si="9"/>
        <v>2244.6666666666665</v>
      </c>
      <c r="N30" s="151">
        <f t="shared" si="9"/>
        <v>2244.6666666666665</v>
      </c>
      <c r="O30" s="151">
        <f t="shared" si="9"/>
        <v>2244.6666666666665</v>
      </c>
      <c r="P30" s="151">
        <f t="shared" si="9"/>
        <v>0</v>
      </c>
      <c r="S30" s="249"/>
    </row>
    <row r="31" spans="1:19" s="6" customFormat="1" ht="84" customHeight="1">
      <c r="A31" s="144" t="s">
        <v>123</v>
      </c>
      <c r="B31" s="163" t="s">
        <v>239</v>
      </c>
      <c r="C31" s="146" t="s">
        <v>130</v>
      </c>
      <c r="D31" s="164">
        <f>D32</f>
        <v>3450</v>
      </c>
      <c r="E31" s="164">
        <f>E32</f>
        <v>1791.7</v>
      </c>
      <c r="F31" s="164">
        <f>F32</f>
        <v>2090</v>
      </c>
      <c r="G31" s="147">
        <f>G32</f>
        <v>9251.4</v>
      </c>
      <c r="H31" s="147">
        <f t="shared" si="8"/>
        <v>6445.7</v>
      </c>
      <c r="I31" s="147">
        <f>I32</f>
        <v>10000</v>
      </c>
      <c r="J31" s="148">
        <f>J32</f>
        <v>6734</v>
      </c>
      <c r="K31" s="152">
        <f t="shared" si="2"/>
        <v>7124.5720000000001</v>
      </c>
      <c r="L31" s="153">
        <f t="shared" si="3"/>
        <v>7516.42346</v>
      </c>
      <c r="M31" s="151">
        <f t="shared" si="9"/>
        <v>2244.6666666666665</v>
      </c>
      <c r="N31" s="151">
        <f t="shared" si="9"/>
        <v>2244.6666666666665</v>
      </c>
      <c r="O31" s="151">
        <f t="shared" si="9"/>
        <v>2244.6666666666665</v>
      </c>
      <c r="P31" s="151">
        <f t="shared" si="9"/>
        <v>0</v>
      </c>
      <c r="S31" s="249"/>
    </row>
    <row r="32" spans="1:19" s="6" customFormat="1" ht="65.099999999999994" customHeight="1">
      <c r="A32" s="144" t="s">
        <v>240</v>
      </c>
      <c r="B32" s="163" t="s">
        <v>201</v>
      </c>
      <c r="C32" s="146" t="s">
        <v>51</v>
      </c>
      <c r="D32" s="165">
        <f>D33</f>
        <v>3450</v>
      </c>
      <c r="E32" s="165">
        <f>E33</f>
        <v>1791.7</v>
      </c>
      <c r="F32" s="165">
        <f>F33</f>
        <v>2090</v>
      </c>
      <c r="G32" s="147">
        <f>9214.3+37.1</f>
        <v>9251.4</v>
      </c>
      <c r="H32" s="165">
        <v>6445.7</v>
      </c>
      <c r="I32" s="147">
        <v>10000</v>
      </c>
      <c r="J32" s="148">
        <v>6734</v>
      </c>
      <c r="K32" s="152">
        <f t="shared" si="2"/>
        <v>7124.5720000000001</v>
      </c>
      <c r="L32" s="153">
        <f t="shared" si="3"/>
        <v>7516.42346</v>
      </c>
      <c r="M32" s="151">
        <f>J32/3</f>
        <v>2244.6666666666665</v>
      </c>
      <c r="N32" s="151">
        <f>J32/3</f>
        <v>2244.6666666666665</v>
      </c>
      <c r="O32" s="151">
        <f>J32/3</f>
        <v>2244.6666666666665</v>
      </c>
      <c r="P32" s="151">
        <v>0</v>
      </c>
      <c r="S32" s="249"/>
    </row>
    <row r="33" spans="1:19" s="6" customFormat="1" ht="31.5" customHeight="1">
      <c r="A33" s="144" t="s">
        <v>241</v>
      </c>
      <c r="B33" s="163" t="s">
        <v>242</v>
      </c>
      <c r="C33" s="146" t="s">
        <v>272</v>
      </c>
      <c r="D33" s="147">
        <f>D34</f>
        <v>3450</v>
      </c>
      <c r="E33" s="147">
        <f>E34</f>
        <v>1791.7</v>
      </c>
      <c r="F33" s="147">
        <v>2090</v>
      </c>
      <c r="G33" s="147">
        <f t="shared" ref="G33:P33" si="10">G34</f>
        <v>24</v>
      </c>
      <c r="H33" s="147">
        <f t="shared" si="10"/>
        <v>12</v>
      </c>
      <c r="I33" s="147">
        <f t="shared" si="10"/>
        <v>24</v>
      </c>
      <c r="J33" s="148">
        <f t="shared" si="10"/>
        <v>12</v>
      </c>
      <c r="K33" s="166">
        <f t="shared" si="10"/>
        <v>12.696000000000002</v>
      </c>
      <c r="L33" s="167">
        <f t="shared" si="10"/>
        <v>13.39428</v>
      </c>
      <c r="M33" s="151">
        <f t="shared" si="10"/>
        <v>3</v>
      </c>
      <c r="N33" s="151">
        <f t="shared" si="10"/>
        <v>3</v>
      </c>
      <c r="O33" s="151">
        <f t="shared" si="10"/>
        <v>3</v>
      </c>
      <c r="P33" s="151">
        <f t="shared" si="10"/>
        <v>3</v>
      </c>
      <c r="S33" s="249"/>
    </row>
    <row r="34" spans="1:19" s="6" customFormat="1" ht="77.25" customHeight="1">
      <c r="A34" s="144" t="s">
        <v>243</v>
      </c>
      <c r="B34" s="163" t="s">
        <v>244</v>
      </c>
      <c r="C34" s="146" t="s">
        <v>330</v>
      </c>
      <c r="D34" s="165">
        <v>3450</v>
      </c>
      <c r="E34" s="165">
        <v>1791.7</v>
      </c>
      <c r="F34" s="165">
        <v>2090</v>
      </c>
      <c r="G34" s="147">
        <v>24</v>
      </c>
      <c r="H34" s="165">
        <v>12</v>
      </c>
      <c r="I34" s="147">
        <v>24</v>
      </c>
      <c r="J34" s="148">
        <v>12</v>
      </c>
      <c r="K34" s="152">
        <f t="shared" si="2"/>
        <v>12.696000000000002</v>
      </c>
      <c r="L34" s="153">
        <f t="shared" si="3"/>
        <v>13.39428</v>
      </c>
      <c r="M34" s="151">
        <f>J34/4</f>
        <v>3</v>
      </c>
      <c r="N34" s="151">
        <f>J34/4</f>
        <v>3</v>
      </c>
      <c r="O34" s="151">
        <f>J34/4</f>
        <v>3</v>
      </c>
      <c r="P34" s="151">
        <f>J34/4</f>
        <v>3</v>
      </c>
      <c r="S34" s="249"/>
    </row>
    <row r="35" spans="1:19" s="6" customFormat="1" ht="27" hidden="1" thickBot="1">
      <c r="A35" s="168">
        <v>4</v>
      </c>
      <c r="B35" s="169" t="s">
        <v>49</v>
      </c>
      <c r="C35" s="170" t="s">
        <v>202</v>
      </c>
      <c r="D35" s="164">
        <f>D36</f>
        <v>140</v>
      </c>
      <c r="E35" s="164">
        <f t="shared" ref="E35:H37" si="11">E36</f>
        <v>88</v>
      </c>
      <c r="F35" s="164">
        <f t="shared" si="11"/>
        <v>132</v>
      </c>
      <c r="G35" s="164">
        <f t="shared" si="11"/>
        <v>0</v>
      </c>
      <c r="H35" s="164">
        <f t="shared" si="11"/>
        <v>0</v>
      </c>
      <c r="I35" s="147">
        <f>H35/8*12</f>
        <v>0</v>
      </c>
      <c r="J35" s="148">
        <f t="shared" si="2"/>
        <v>0</v>
      </c>
      <c r="K35" s="152">
        <f t="shared" si="2"/>
        <v>0</v>
      </c>
      <c r="L35" s="153">
        <f t="shared" si="3"/>
        <v>0</v>
      </c>
      <c r="M35" s="151"/>
      <c r="N35" s="151"/>
      <c r="O35" s="151"/>
      <c r="P35" s="151"/>
      <c r="S35" s="249"/>
    </row>
    <row r="36" spans="1:19" s="6" customFormat="1" ht="31.5" hidden="1" customHeight="1">
      <c r="A36" s="171" t="s">
        <v>60</v>
      </c>
      <c r="B36" s="172" t="s">
        <v>203</v>
      </c>
      <c r="C36" s="173" t="s">
        <v>204</v>
      </c>
      <c r="D36" s="147">
        <f>D37</f>
        <v>140</v>
      </c>
      <c r="E36" s="147">
        <f t="shared" si="11"/>
        <v>88</v>
      </c>
      <c r="F36" s="147">
        <f t="shared" si="11"/>
        <v>132</v>
      </c>
      <c r="G36" s="165">
        <f t="shared" si="11"/>
        <v>0</v>
      </c>
      <c r="H36" s="147"/>
      <c r="I36" s="147">
        <f>H36/8*12</f>
        <v>0</v>
      </c>
      <c r="J36" s="148">
        <f t="shared" si="2"/>
        <v>0</v>
      </c>
      <c r="K36" s="152">
        <f t="shared" si="2"/>
        <v>0</v>
      </c>
      <c r="L36" s="153">
        <f t="shared" si="3"/>
        <v>0</v>
      </c>
      <c r="M36" s="151"/>
      <c r="N36" s="151"/>
      <c r="O36" s="151"/>
      <c r="P36" s="151"/>
      <c r="S36" s="249"/>
    </row>
    <row r="37" spans="1:19" s="5" customFormat="1" ht="44.25" hidden="1" customHeight="1">
      <c r="A37" s="171" t="s">
        <v>61</v>
      </c>
      <c r="B37" s="172" t="s">
        <v>205</v>
      </c>
      <c r="C37" s="173" t="s">
        <v>206</v>
      </c>
      <c r="D37" s="147">
        <f>D38+D43</f>
        <v>140</v>
      </c>
      <c r="E37" s="147">
        <v>88</v>
      </c>
      <c r="F37" s="147">
        <f>E37/8*12</f>
        <v>132</v>
      </c>
      <c r="G37" s="165">
        <f t="shared" si="11"/>
        <v>0</v>
      </c>
      <c r="H37" s="147"/>
      <c r="I37" s="147">
        <f>H37/8*12</f>
        <v>0</v>
      </c>
      <c r="J37" s="148">
        <f t="shared" si="2"/>
        <v>0</v>
      </c>
      <c r="K37" s="152">
        <f t="shared" si="2"/>
        <v>0</v>
      </c>
      <c r="L37" s="153">
        <f t="shared" si="3"/>
        <v>0</v>
      </c>
      <c r="M37" s="151"/>
      <c r="N37" s="151"/>
      <c r="O37" s="151"/>
      <c r="P37" s="151"/>
      <c r="S37" s="250"/>
    </row>
    <row r="38" spans="1:19" s="5" customFormat="1" ht="76.5" hidden="1" customHeight="1" thickBot="1">
      <c r="A38" s="171" t="s">
        <v>62</v>
      </c>
      <c r="B38" s="172" t="s">
        <v>207</v>
      </c>
      <c r="C38" s="173" t="s">
        <v>133</v>
      </c>
      <c r="D38" s="147">
        <v>125</v>
      </c>
      <c r="E38" s="147">
        <v>88</v>
      </c>
      <c r="F38" s="147">
        <f>E38/8*12</f>
        <v>132</v>
      </c>
      <c r="G38" s="165">
        <v>0</v>
      </c>
      <c r="H38" s="147"/>
      <c r="I38" s="147">
        <f>H38/8*12</f>
        <v>0</v>
      </c>
      <c r="J38" s="148">
        <f t="shared" si="2"/>
        <v>0</v>
      </c>
      <c r="K38" s="152">
        <f t="shared" si="2"/>
        <v>0</v>
      </c>
      <c r="L38" s="153">
        <f t="shared" si="3"/>
        <v>0</v>
      </c>
      <c r="M38" s="151"/>
      <c r="N38" s="151"/>
      <c r="O38" s="151"/>
      <c r="P38" s="151"/>
      <c r="S38" s="250"/>
    </row>
    <row r="39" spans="1:19" s="5" customFormat="1" ht="43.5" customHeight="1">
      <c r="A39" s="174" t="s">
        <v>245</v>
      </c>
      <c r="B39" s="169" t="s">
        <v>49</v>
      </c>
      <c r="C39" s="175" t="s">
        <v>314</v>
      </c>
      <c r="D39" s="147">
        <v>15</v>
      </c>
      <c r="E39" s="147">
        <v>0</v>
      </c>
      <c r="F39" s="147">
        <v>15</v>
      </c>
      <c r="G39" s="176">
        <f t="shared" ref="G39:L41" si="12">G40</f>
        <v>0</v>
      </c>
      <c r="H39" s="176">
        <f t="shared" si="12"/>
        <v>0</v>
      </c>
      <c r="I39" s="176">
        <f t="shared" si="12"/>
        <v>1402.9</v>
      </c>
      <c r="J39" s="176">
        <f>J40+J44</f>
        <v>798.6</v>
      </c>
      <c r="K39" s="176">
        <f t="shared" si="12"/>
        <v>557.14280000000008</v>
      </c>
      <c r="L39" s="176">
        <f t="shared" si="12"/>
        <v>587.78565400000002</v>
      </c>
      <c r="M39" s="177"/>
      <c r="N39" s="177"/>
      <c r="O39" s="177"/>
      <c r="P39" s="177"/>
      <c r="S39" s="250"/>
    </row>
    <row r="40" spans="1:19" s="5" customFormat="1" ht="31.5" customHeight="1">
      <c r="A40" s="178" t="s">
        <v>60</v>
      </c>
      <c r="B40" s="163" t="s">
        <v>315</v>
      </c>
      <c r="C40" s="179" t="s">
        <v>316</v>
      </c>
      <c r="D40" s="147" t="e">
        <f>D41+#REF!</f>
        <v>#REF!</v>
      </c>
      <c r="E40" s="147" t="e">
        <f>E41+#REF!</f>
        <v>#REF!</v>
      </c>
      <c r="F40" s="147" t="e">
        <f>F41+#REF!</f>
        <v>#REF!</v>
      </c>
      <c r="G40" s="148">
        <f t="shared" si="12"/>
        <v>0</v>
      </c>
      <c r="H40" s="148">
        <f t="shared" si="12"/>
        <v>0</v>
      </c>
      <c r="I40" s="148">
        <f t="shared" si="12"/>
        <v>1402.9</v>
      </c>
      <c r="J40" s="148">
        <f t="shared" si="12"/>
        <v>526.6</v>
      </c>
      <c r="K40" s="140">
        <f t="shared" si="12"/>
        <v>557.14280000000008</v>
      </c>
      <c r="L40" s="140">
        <f t="shared" si="12"/>
        <v>587.78565400000002</v>
      </c>
      <c r="M40" s="177"/>
      <c r="N40" s="177"/>
      <c r="O40" s="177"/>
      <c r="P40" s="177"/>
      <c r="R40" s="244">
        <f>(J9+J50)*0.233</f>
        <v>21211.807399999998</v>
      </c>
      <c r="S40" s="250"/>
    </row>
    <row r="41" spans="1:19" s="5" customFormat="1" ht="45" customHeight="1">
      <c r="A41" s="178" t="s">
        <v>61</v>
      </c>
      <c r="B41" s="163" t="s">
        <v>317</v>
      </c>
      <c r="C41" s="180" t="s">
        <v>318</v>
      </c>
      <c r="D41" s="164">
        <f>D42+D51+D48</f>
        <v>11683.4</v>
      </c>
      <c r="E41" s="164">
        <f>E42+E51+E48</f>
        <v>8755.2000000000007</v>
      </c>
      <c r="F41" s="164">
        <f>F42+F51+F48</f>
        <v>11683.4</v>
      </c>
      <c r="G41" s="148">
        <f>G42</f>
        <v>0</v>
      </c>
      <c r="H41" s="148">
        <f>H42</f>
        <v>0</v>
      </c>
      <c r="I41" s="148">
        <f t="shared" si="12"/>
        <v>1402.9</v>
      </c>
      <c r="J41" s="148">
        <f t="shared" si="12"/>
        <v>526.6</v>
      </c>
      <c r="K41" s="148">
        <f t="shared" si="12"/>
        <v>557.14280000000008</v>
      </c>
      <c r="L41" s="148">
        <f t="shared" si="12"/>
        <v>587.78565400000002</v>
      </c>
      <c r="M41" s="177"/>
      <c r="N41" s="177"/>
      <c r="O41" s="177"/>
      <c r="P41" s="177"/>
      <c r="S41" s="250"/>
    </row>
    <row r="42" spans="1:19" s="4" customFormat="1" ht="73.5" customHeight="1">
      <c r="A42" s="178" t="s">
        <v>62</v>
      </c>
      <c r="B42" s="163" t="s">
        <v>319</v>
      </c>
      <c r="C42" s="180" t="s">
        <v>133</v>
      </c>
      <c r="D42" s="181">
        <f>D47</f>
        <v>5841.7</v>
      </c>
      <c r="E42" s="181">
        <f>E47</f>
        <v>4377.6000000000004</v>
      </c>
      <c r="F42" s="181">
        <f>F47</f>
        <v>5841.7</v>
      </c>
      <c r="G42" s="148">
        <v>0</v>
      </c>
      <c r="H42" s="148">
        <v>0</v>
      </c>
      <c r="I42" s="148">
        <v>1402.9</v>
      </c>
      <c r="J42" s="148">
        <v>526.6</v>
      </c>
      <c r="K42" s="148">
        <f>J42*1.058</f>
        <v>557.14280000000008</v>
      </c>
      <c r="L42" s="148">
        <f>K42*1.055</f>
        <v>587.78565400000002</v>
      </c>
      <c r="M42" s="182"/>
      <c r="N42" s="182"/>
      <c r="O42" s="182"/>
      <c r="P42" s="182"/>
      <c r="S42" s="248"/>
    </row>
    <row r="43" spans="1:19" s="5" customFormat="1" ht="24.75" hidden="1" customHeight="1" thickBot="1">
      <c r="A43" s="136" t="s">
        <v>245</v>
      </c>
      <c r="B43" s="137" t="s">
        <v>16</v>
      </c>
      <c r="C43" s="138" t="s">
        <v>15</v>
      </c>
      <c r="D43" s="183">
        <v>15</v>
      </c>
      <c r="E43" s="183">
        <v>0</v>
      </c>
      <c r="F43" s="183">
        <v>15</v>
      </c>
      <c r="G43" s="139">
        <f t="shared" ref="G43:P44" si="13">G44</f>
        <v>30</v>
      </c>
      <c r="H43" s="139">
        <f t="shared" si="13"/>
        <v>19.8</v>
      </c>
      <c r="I43" s="139">
        <f t="shared" si="13"/>
        <v>35</v>
      </c>
      <c r="J43" s="140">
        <f t="shared" si="13"/>
        <v>272</v>
      </c>
      <c r="K43" s="184">
        <f t="shared" si="13"/>
        <v>287.77600000000001</v>
      </c>
      <c r="L43" s="185">
        <f t="shared" si="13"/>
        <v>303.60368</v>
      </c>
      <c r="M43" s="143">
        <f t="shared" si="13"/>
        <v>68</v>
      </c>
      <c r="N43" s="143">
        <f t="shared" si="13"/>
        <v>68</v>
      </c>
      <c r="O43" s="143">
        <f t="shared" si="13"/>
        <v>68</v>
      </c>
      <c r="P43" s="143">
        <f t="shared" si="13"/>
        <v>68</v>
      </c>
      <c r="S43" s="250"/>
    </row>
    <row r="44" spans="1:19" s="5" customFormat="1" ht="30" customHeight="1">
      <c r="A44" s="144" t="s">
        <v>326</v>
      </c>
      <c r="B44" s="163" t="s">
        <v>42</v>
      </c>
      <c r="C44" s="186" t="s">
        <v>46</v>
      </c>
      <c r="D44" s="187" t="e">
        <f>D45+#REF!</f>
        <v>#REF!</v>
      </c>
      <c r="E44" s="187" t="e">
        <f>E45+#REF!</f>
        <v>#REF!</v>
      </c>
      <c r="F44" s="187" t="e">
        <f>F45+#REF!</f>
        <v>#REF!</v>
      </c>
      <c r="G44" s="147">
        <f t="shared" si="13"/>
        <v>30</v>
      </c>
      <c r="H44" s="147">
        <f t="shared" si="13"/>
        <v>19.8</v>
      </c>
      <c r="I44" s="147">
        <f t="shared" si="13"/>
        <v>35</v>
      </c>
      <c r="J44" s="148">
        <f t="shared" si="13"/>
        <v>272</v>
      </c>
      <c r="K44" s="188">
        <f t="shared" si="13"/>
        <v>287.77600000000001</v>
      </c>
      <c r="L44" s="150">
        <f t="shared" si="13"/>
        <v>303.60368</v>
      </c>
      <c r="M44" s="151">
        <f t="shared" si="13"/>
        <v>68</v>
      </c>
      <c r="N44" s="151">
        <f t="shared" si="13"/>
        <v>68</v>
      </c>
      <c r="O44" s="151">
        <f t="shared" si="13"/>
        <v>68</v>
      </c>
      <c r="P44" s="151">
        <f t="shared" si="13"/>
        <v>68</v>
      </c>
      <c r="S44" s="250"/>
    </row>
    <row r="45" spans="1:19" s="5" customFormat="1" ht="57" customHeight="1">
      <c r="A45" s="144" t="s">
        <v>327</v>
      </c>
      <c r="B45" s="163" t="s">
        <v>45</v>
      </c>
      <c r="C45" s="186" t="s">
        <v>325</v>
      </c>
      <c r="D45" s="164">
        <f>D46+D52+D49</f>
        <v>6635.2</v>
      </c>
      <c r="E45" s="164">
        <f>E46+E52+E49</f>
        <v>4901.8</v>
      </c>
      <c r="F45" s="164">
        <f>F46+F52+F49</f>
        <v>6635.2</v>
      </c>
      <c r="G45" s="147">
        <f t="shared" ref="G45:L45" si="14">G46+G47</f>
        <v>30</v>
      </c>
      <c r="H45" s="147">
        <f t="shared" si="14"/>
        <v>19.8</v>
      </c>
      <c r="I45" s="147">
        <f t="shared" si="14"/>
        <v>35</v>
      </c>
      <c r="J45" s="148">
        <f t="shared" si="14"/>
        <v>272</v>
      </c>
      <c r="K45" s="189">
        <f t="shared" si="14"/>
        <v>287.77600000000001</v>
      </c>
      <c r="L45" s="190">
        <f t="shared" si="14"/>
        <v>303.60368</v>
      </c>
      <c r="M45" s="151">
        <f>M46+M47</f>
        <v>68</v>
      </c>
      <c r="N45" s="151">
        <f>N46+N47</f>
        <v>68</v>
      </c>
      <c r="O45" s="151">
        <f>O46+O47</f>
        <v>68</v>
      </c>
      <c r="P45" s="151">
        <f>P46+P47</f>
        <v>68</v>
      </c>
      <c r="Q45" s="115"/>
      <c r="S45" s="250"/>
    </row>
    <row r="46" spans="1:19" s="4" customFormat="1" ht="53.25" customHeight="1" thickBot="1">
      <c r="A46" s="144" t="s">
        <v>328</v>
      </c>
      <c r="B46" s="145" t="s">
        <v>143</v>
      </c>
      <c r="C46" s="186" t="s">
        <v>175</v>
      </c>
      <c r="D46" s="181">
        <f>D48</f>
        <v>5841.7</v>
      </c>
      <c r="E46" s="181">
        <f>E48</f>
        <v>4377.6000000000004</v>
      </c>
      <c r="F46" s="181">
        <f>F48</f>
        <v>5841.7</v>
      </c>
      <c r="G46" s="147">
        <v>20</v>
      </c>
      <c r="H46" s="147">
        <v>19.8</v>
      </c>
      <c r="I46" s="147">
        <v>30</v>
      </c>
      <c r="J46" s="148">
        <f>10+262</f>
        <v>272</v>
      </c>
      <c r="K46" s="152">
        <f t="shared" si="2"/>
        <v>287.77600000000001</v>
      </c>
      <c r="L46" s="153">
        <f t="shared" si="3"/>
        <v>303.60368</v>
      </c>
      <c r="M46" s="151">
        <f>J46/4</f>
        <v>68</v>
      </c>
      <c r="N46" s="151">
        <f>J46/4</f>
        <v>68</v>
      </c>
      <c r="O46" s="151">
        <f>J46/4</f>
        <v>68</v>
      </c>
      <c r="P46" s="151">
        <f>J46/4</f>
        <v>68</v>
      </c>
      <c r="S46" s="248"/>
    </row>
    <row r="47" spans="1:19" s="6" customFormat="1" ht="61.5" hidden="1" customHeight="1" thickBot="1">
      <c r="A47" s="144" t="s">
        <v>329</v>
      </c>
      <c r="B47" s="145" t="s">
        <v>151</v>
      </c>
      <c r="C47" s="146" t="s">
        <v>176</v>
      </c>
      <c r="D47" s="181">
        <f>D48</f>
        <v>5841.7</v>
      </c>
      <c r="E47" s="181">
        <f>E48</f>
        <v>4377.6000000000004</v>
      </c>
      <c r="F47" s="181">
        <f>F48</f>
        <v>5841.7</v>
      </c>
      <c r="G47" s="147">
        <v>10</v>
      </c>
      <c r="H47" s="147">
        <v>0</v>
      </c>
      <c r="I47" s="147">
        <v>5</v>
      </c>
      <c r="J47" s="148">
        <v>0</v>
      </c>
      <c r="K47" s="152">
        <f t="shared" si="2"/>
        <v>0</v>
      </c>
      <c r="L47" s="153">
        <f t="shared" si="3"/>
        <v>0</v>
      </c>
      <c r="M47" s="147">
        <v>0</v>
      </c>
      <c r="N47" s="147">
        <v>0</v>
      </c>
      <c r="O47" s="147">
        <v>0</v>
      </c>
      <c r="P47" s="147">
        <v>0</v>
      </c>
      <c r="S47" s="249"/>
    </row>
    <row r="48" spans="1:19" s="6" customFormat="1" ht="50.25" customHeight="1" thickBot="1">
      <c r="A48" s="128" t="s">
        <v>41</v>
      </c>
      <c r="B48" s="129" t="s">
        <v>17</v>
      </c>
      <c r="C48" s="130" t="s">
        <v>144</v>
      </c>
      <c r="D48" s="191">
        <v>5841.7</v>
      </c>
      <c r="E48" s="191">
        <v>4377.6000000000004</v>
      </c>
      <c r="F48" s="191">
        <v>5841.7</v>
      </c>
      <c r="G48" s="131">
        <f t="shared" ref="G48:P48" si="15">G49</f>
        <v>22002.800000000003</v>
      </c>
      <c r="H48" s="131">
        <f t="shared" si="15"/>
        <v>6463.3</v>
      </c>
      <c r="I48" s="131">
        <f t="shared" si="15"/>
        <v>19569.800000000003</v>
      </c>
      <c r="J48" s="132">
        <f t="shared" si="15"/>
        <v>66122.899999999994</v>
      </c>
      <c r="K48" s="192">
        <f t="shared" si="15"/>
        <v>60474.2</v>
      </c>
      <c r="L48" s="193">
        <f t="shared" si="15"/>
        <v>60616</v>
      </c>
      <c r="M48" s="135">
        <f t="shared" si="15"/>
        <v>16530.724999999999</v>
      </c>
      <c r="N48" s="135">
        <f t="shared" si="15"/>
        <v>16530.724999999999</v>
      </c>
      <c r="O48" s="135">
        <f t="shared" si="15"/>
        <v>16530.724999999999</v>
      </c>
      <c r="P48" s="135">
        <f t="shared" si="15"/>
        <v>16530.724999999999</v>
      </c>
      <c r="S48" s="249"/>
    </row>
    <row r="49" spans="1:19" s="6" customFormat="1" ht="42.75" customHeight="1" thickBot="1">
      <c r="A49" s="136">
        <v>5</v>
      </c>
      <c r="B49" s="137" t="s">
        <v>135</v>
      </c>
      <c r="C49" s="138" t="s">
        <v>273</v>
      </c>
      <c r="D49" s="139">
        <v>0</v>
      </c>
      <c r="E49" s="139">
        <v>0</v>
      </c>
      <c r="F49" s="139">
        <v>0</v>
      </c>
      <c r="G49" s="139">
        <f t="shared" ref="G49:P49" si="16">G50+G56+G53</f>
        <v>22002.800000000003</v>
      </c>
      <c r="H49" s="139">
        <f t="shared" si="16"/>
        <v>6463.3</v>
      </c>
      <c r="I49" s="139">
        <f t="shared" si="16"/>
        <v>19569.800000000003</v>
      </c>
      <c r="J49" s="140">
        <f>J50+J56+J53</f>
        <v>66122.899999999994</v>
      </c>
      <c r="K49" s="194">
        <f t="shared" si="16"/>
        <v>60474.2</v>
      </c>
      <c r="L49" s="195">
        <f t="shared" si="16"/>
        <v>60616</v>
      </c>
      <c r="M49" s="143">
        <f t="shared" si="16"/>
        <v>16530.724999999999</v>
      </c>
      <c r="N49" s="143">
        <f t="shared" si="16"/>
        <v>16530.724999999999</v>
      </c>
      <c r="O49" s="143">
        <f t="shared" si="16"/>
        <v>16530.724999999999</v>
      </c>
      <c r="P49" s="143">
        <f t="shared" si="16"/>
        <v>16530.724999999999</v>
      </c>
      <c r="S49" s="249"/>
    </row>
    <row r="50" spans="1:19" s="5" customFormat="1" ht="36.75" customHeight="1">
      <c r="A50" s="144" t="s">
        <v>63</v>
      </c>
      <c r="B50" s="145" t="s">
        <v>50</v>
      </c>
      <c r="C50" s="146" t="s">
        <v>136</v>
      </c>
      <c r="D50" s="147">
        <f>D51</f>
        <v>0</v>
      </c>
      <c r="E50" s="147">
        <f>E51</f>
        <v>0</v>
      </c>
      <c r="F50" s="147">
        <f>F51</f>
        <v>0</v>
      </c>
      <c r="G50" s="147">
        <f t="shared" ref="G50:L50" si="17">G52</f>
        <v>8472</v>
      </c>
      <c r="H50" s="147">
        <f t="shared" si="17"/>
        <v>5648</v>
      </c>
      <c r="I50" s="147">
        <f>H50/8*12</f>
        <v>8472</v>
      </c>
      <c r="J50" s="148">
        <f t="shared" si="17"/>
        <v>64592.2</v>
      </c>
      <c r="K50" s="196">
        <f t="shared" si="17"/>
        <v>58000</v>
      </c>
      <c r="L50" s="197">
        <f t="shared" si="17"/>
        <v>58000</v>
      </c>
      <c r="M50" s="151">
        <f>M52</f>
        <v>16148.05</v>
      </c>
      <c r="N50" s="151">
        <f>N52</f>
        <v>16148.05</v>
      </c>
      <c r="O50" s="151">
        <f>O52</f>
        <v>16148.05</v>
      </c>
      <c r="P50" s="151">
        <f>P52</f>
        <v>16148.05</v>
      </c>
      <c r="S50" s="250"/>
    </row>
    <row r="51" spans="1:19" s="5" customFormat="1" ht="63" customHeight="1">
      <c r="A51" s="144" t="s">
        <v>66</v>
      </c>
      <c r="B51" s="145" t="s">
        <v>53</v>
      </c>
      <c r="C51" s="146" t="s">
        <v>137</v>
      </c>
      <c r="D51" s="147">
        <v>0</v>
      </c>
      <c r="E51" s="147">
        <v>0</v>
      </c>
      <c r="F51" s="147">
        <v>0</v>
      </c>
      <c r="G51" s="147">
        <f t="shared" ref="G51:P51" si="18">G52</f>
        <v>8472</v>
      </c>
      <c r="H51" s="147">
        <f t="shared" si="18"/>
        <v>5648</v>
      </c>
      <c r="I51" s="147">
        <f>H51/8*12</f>
        <v>8472</v>
      </c>
      <c r="J51" s="148">
        <f t="shared" si="18"/>
        <v>64592.2</v>
      </c>
      <c r="K51" s="198">
        <f t="shared" si="18"/>
        <v>58000</v>
      </c>
      <c r="L51" s="199">
        <f t="shared" si="18"/>
        <v>58000</v>
      </c>
      <c r="M51" s="151">
        <f t="shared" si="18"/>
        <v>16148.05</v>
      </c>
      <c r="N51" s="151">
        <f t="shared" si="18"/>
        <v>16148.05</v>
      </c>
      <c r="O51" s="151">
        <f t="shared" si="18"/>
        <v>16148.05</v>
      </c>
      <c r="P51" s="151">
        <f t="shared" si="18"/>
        <v>16148.05</v>
      </c>
      <c r="S51" s="250"/>
    </row>
    <row r="52" spans="1:19" s="5" customFormat="1" ht="57" customHeight="1" thickBot="1">
      <c r="A52" s="144" t="s">
        <v>134</v>
      </c>
      <c r="B52" s="145" t="s">
        <v>52</v>
      </c>
      <c r="C52" s="146" t="s">
        <v>182</v>
      </c>
      <c r="D52" s="200">
        <f>D53+D57</f>
        <v>793.50000000000011</v>
      </c>
      <c r="E52" s="200">
        <f>E53+E57</f>
        <v>524.20000000000005</v>
      </c>
      <c r="F52" s="200">
        <f>F53+F57</f>
        <v>793.50000000000011</v>
      </c>
      <c r="G52" s="147">
        <v>8472</v>
      </c>
      <c r="H52" s="147">
        <v>5648</v>
      </c>
      <c r="I52" s="147">
        <f>H52/8*12</f>
        <v>8472</v>
      </c>
      <c r="J52" s="148">
        <v>64592.2</v>
      </c>
      <c r="K52" s="201">
        <v>58000</v>
      </c>
      <c r="L52" s="202">
        <v>58000</v>
      </c>
      <c r="M52" s="151">
        <f>J52/4</f>
        <v>16148.05</v>
      </c>
      <c r="N52" s="151">
        <f>J52/4</f>
        <v>16148.05</v>
      </c>
      <c r="O52" s="151">
        <f>J52/4</f>
        <v>16148.05</v>
      </c>
      <c r="P52" s="151">
        <f>J52/4</f>
        <v>16148.05</v>
      </c>
      <c r="S52" s="250"/>
    </row>
    <row r="53" spans="1:19" s="5" customFormat="1" ht="53.25" hidden="1" customHeight="1" thickBot="1">
      <c r="A53" s="136">
        <v>6</v>
      </c>
      <c r="B53" s="137" t="s">
        <v>189</v>
      </c>
      <c r="C53" s="138" t="s">
        <v>274</v>
      </c>
      <c r="D53" s="183">
        <f>D54</f>
        <v>565.40000000000009</v>
      </c>
      <c r="E53" s="183">
        <f t="shared" ref="E53:L54" si="19">E54</f>
        <v>410.1</v>
      </c>
      <c r="F53" s="183">
        <f t="shared" si="19"/>
        <v>565.40000000000009</v>
      </c>
      <c r="G53" s="139">
        <f t="shared" si="19"/>
        <v>11982.7</v>
      </c>
      <c r="H53" s="139">
        <f t="shared" si="19"/>
        <v>0</v>
      </c>
      <c r="I53" s="139">
        <f t="shared" si="19"/>
        <v>9982.7000000000007</v>
      </c>
      <c r="J53" s="140">
        <f t="shared" si="19"/>
        <v>0</v>
      </c>
      <c r="K53" s="184">
        <f t="shared" si="19"/>
        <v>0</v>
      </c>
      <c r="L53" s="185">
        <f t="shared" si="19"/>
        <v>0</v>
      </c>
      <c r="M53" s="143">
        <v>0</v>
      </c>
      <c r="N53" s="143">
        <v>0</v>
      </c>
      <c r="O53" s="143">
        <v>0</v>
      </c>
      <c r="P53" s="143">
        <v>0</v>
      </c>
      <c r="S53" s="250"/>
    </row>
    <row r="54" spans="1:19" s="6" customFormat="1" ht="13.8" hidden="1" thickBot="1">
      <c r="A54" s="203" t="s">
        <v>124</v>
      </c>
      <c r="B54" s="204" t="s">
        <v>190</v>
      </c>
      <c r="C54" s="205" t="s">
        <v>191</v>
      </c>
      <c r="D54" s="165">
        <f>D55+D56</f>
        <v>565.40000000000009</v>
      </c>
      <c r="E54" s="165">
        <f>E55+E56</f>
        <v>410.1</v>
      </c>
      <c r="F54" s="165">
        <f>F55+F56</f>
        <v>565.40000000000009</v>
      </c>
      <c r="G54" s="165">
        <f t="shared" si="19"/>
        <v>11982.7</v>
      </c>
      <c r="H54" s="165">
        <f t="shared" si="19"/>
        <v>0</v>
      </c>
      <c r="I54" s="165">
        <f t="shared" si="19"/>
        <v>9982.7000000000007</v>
      </c>
      <c r="J54" s="206">
        <f t="shared" si="19"/>
        <v>0</v>
      </c>
      <c r="K54" s="207">
        <f t="shared" si="19"/>
        <v>0</v>
      </c>
      <c r="L54" s="208">
        <f t="shared" si="19"/>
        <v>0</v>
      </c>
      <c r="M54" s="151">
        <v>0</v>
      </c>
      <c r="N54" s="151">
        <v>0</v>
      </c>
      <c r="O54" s="151">
        <v>0</v>
      </c>
      <c r="P54" s="151">
        <v>0</v>
      </c>
      <c r="S54" s="249"/>
    </row>
    <row r="55" spans="1:19" ht="53.25" hidden="1" customHeight="1" thickBot="1">
      <c r="A55" s="144" t="s">
        <v>43</v>
      </c>
      <c r="B55" s="145" t="s">
        <v>197</v>
      </c>
      <c r="C55" s="146" t="s">
        <v>198</v>
      </c>
      <c r="D55" s="147">
        <v>552.70000000000005</v>
      </c>
      <c r="E55" s="147">
        <v>410.1</v>
      </c>
      <c r="F55" s="147">
        <v>552.70000000000005</v>
      </c>
      <c r="G55" s="165">
        <v>11982.7</v>
      </c>
      <c r="H55" s="165">
        <v>0</v>
      </c>
      <c r="I55" s="147">
        <v>9982.7000000000007</v>
      </c>
      <c r="J55" s="206">
        <v>0</v>
      </c>
      <c r="K55" s="209"/>
      <c r="L55" s="210"/>
      <c r="M55" s="151">
        <v>0</v>
      </c>
      <c r="N55" s="151">
        <v>0</v>
      </c>
      <c r="O55" s="151">
        <v>0</v>
      </c>
      <c r="P55" s="151">
        <v>0</v>
      </c>
    </row>
    <row r="56" spans="1:19" ht="42" customHeight="1" thickBot="1">
      <c r="A56" s="136">
        <v>7</v>
      </c>
      <c r="B56" s="137" t="s">
        <v>71</v>
      </c>
      <c r="C56" s="138" t="s">
        <v>275</v>
      </c>
      <c r="D56" s="183">
        <v>12.7</v>
      </c>
      <c r="E56" s="183">
        <v>0</v>
      </c>
      <c r="F56" s="183">
        <v>12.7</v>
      </c>
      <c r="G56" s="139">
        <f t="shared" ref="G56:L56" si="20">G57+G61</f>
        <v>1548.1</v>
      </c>
      <c r="H56" s="139">
        <f t="shared" si="20"/>
        <v>815.3</v>
      </c>
      <c r="I56" s="139">
        <f t="shared" si="20"/>
        <v>1115.0999999999999</v>
      </c>
      <c r="J56" s="140">
        <f>J57+J61</f>
        <v>1530.7</v>
      </c>
      <c r="K56" s="184">
        <f t="shared" si="20"/>
        <v>2474.1999999999998</v>
      </c>
      <c r="L56" s="185">
        <f t="shared" si="20"/>
        <v>2616</v>
      </c>
      <c r="M56" s="143">
        <f>M57+M61</f>
        <v>382.67500000000001</v>
      </c>
      <c r="N56" s="143">
        <f>N57+N61</f>
        <v>382.67500000000001</v>
      </c>
      <c r="O56" s="143">
        <f>O57+O61</f>
        <v>382.67500000000001</v>
      </c>
      <c r="P56" s="143">
        <f>P57+P61</f>
        <v>382.67500000000001</v>
      </c>
    </row>
    <row r="57" spans="1:19" ht="43.5" customHeight="1">
      <c r="A57" s="171" t="s">
        <v>138</v>
      </c>
      <c r="B57" s="172" t="s">
        <v>73</v>
      </c>
      <c r="C57" s="173" t="s">
        <v>72</v>
      </c>
      <c r="D57" s="181">
        <f>D59</f>
        <v>228.1</v>
      </c>
      <c r="E57" s="181">
        <f>E59</f>
        <v>114.1</v>
      </c>
      <c r="F57" s="181">
        <f>F59</f>
        <v>228.1</v>
      </c>
      <c r="G57" s="165">
        <f t="shared" ref="G57:P57" si="21">G58</f>
        <v>662.2</v>
      </c>
      <c r="H57" s="165">
        <f t="shared" si="21"/>
        <v>485.4</v>
      </c>
      <c r="I57" s="147">
        <f>H57/8*12</f>
        <v>728.09999999999991</v>
      </c>
      <c r="J57" s="206">
        <f t="shared" si="21"/>
        <v>804.2</v>
      </c>
      <c r="K57" s="207">
        <f t="shared" si="21"/>
        <v>740.1</v>
      </c>
      <c r="L57" s="208">
        <f t="shared" si="21"/>
        <v>780.8</v>
      </c>
      <c r="M57" s="151">
        <f t="shared" si="21"/>
        <v>201.05</v>
      </c>
      <c r="N57" s="151">
        <f t="shared" si="21"/>
        <v>201.05</v>
      </c>
      <c r="O57" s="151">
        <f t="shared" si="21"/>
        <v>201.05</v>
      </c>
      <c r="P57" s="151">
        <f t="shared" si="21"/>
        <v>201.05</v>
      </c>
    </row>
    <row r="58" spans="1:19" ht="65.099999999999994" customHeight="1">
      <c r="A58" s="171" t="s">
        <v>64</v>
      </c>
      <c r="B58" s="172" t="s">
        <v>74</v>
      </c>
      <c r="C58" s="173" t="s">
        <v>246</v>
      </c>
      <c r="D58" s="147">
        <v>228.1</v>
      </c>
      <c r="E58" s="147">
        <v>114.1</v>
      </c>
      <c r="F58" s="147">
        <v>228.1</v>
      </c>
      <c r="G58" s="165">
        <f t="shared" ref="G58:L58" si="22">G59+G60</f>
        <v>662.2</v>
      </c>
      <c r="H58" s="165">
        <f t="shared" si="22"/>
        <v>485.4</v>
      </c>
      <c r="I58" s="165">
        <f t="shared" si="22"/>
        <v>662.2</v>
      </c>
      <c r="J58" s="206">
        <f>J59</f>
        <v>804.2</v>
      </c>
      <c r="K58" s="211">
        <f t="shared" si="22"/>
        <v>740.1</v>
      </c>
      <c r="L58" s="212">
        <f t="shared" si="22"/>
        <v>780.8</v>
      </c>
      <c r="M58" s="151">
        <f>J58/4</f>
        <v>201.05</v>
      </c>
      <c r="N58" s="151">
        <f>J58/4</f>
        <v>201.05</v>
      </c>
      <c r="O58" s="151">
        <f>J58/4</f>
        <v>201.05</v>
      </c>
      <c r="P58" s="151">
        <f>J58/4</f>
        <v>201.05</v>
      </c>
    </row>
    <row r="59" spans="1:19" ht="68.25" customHeight="1">
      <c r="A59" s="144" t="s">
        <v>235</v>
      </c>
      <c r="B59" s="145" t="s">
        <v>117</v>
      </c>
      <c r="C59" s="213" t="s">
        <v>247</v>
      </c>
      <c r="D59" s="147">
        <v>228.1</v>
      </c>
      <c r="E59" s="147">
        <v>114.1</v>
      </c>
      <c r="F59" s="147">
        <v>228.1</v>
      </c>
      <c r="G59" s="165">
        <v>657.2</v>
      </c>
      <c r="H59" s="147">
        <v>485.4</v>
      </c>
      <c r="I59" s="147">
        <v>657.2</v>
      </c>
      <c r="J59" s="148">
        <v>804.2</v>
      </c>
      <c r="K59" s="189">
        <v>740.1</v>
      </c>
      <c r="L59" s="190">
        <v>780.8</v>
      </c>
      <c r="M59" s="151">
        <f>J59/4</f>
        <v>201.05</v>
      </c>
      <c r="N59" s="151">
        <f>J59/4</f>
        <v>201.05</v>
      </c>
      <c r="O59" s="151">
        <f>J59/4</f>
        <v>201.05</v>
      </c>
      <c r="P59" s="151">
        <f>J59/4</f>
        <v>201.05</v>
      </c>
    </row>
    <row r="60" spans="1:19" ht="93" customHeight="1" thickBot="1">
      <c r="A60" s="144" t="s">
        <v>248</v>
      </c>
      <c r="B60" s="145" t="s">
        <v>113</v>
      </c>
      <c r="C60" s="213" t="s">
        <v>249</v>
      </c>
      <c r="D60" s="147">
        <v>228.1</v>
      </c>
      <c r="E60" s="147">
        <v>114.1</v>
      </c>
      <c r="F60" s="147">
        <v>228.1</v>
      </c>
      <c r="G60" s="147">
        <v>5</v>
      </c>
      <c r="H60" s="147"/>
      <c r="I60" s="147">
        <v>5</v>
      </c>
      <c r="J60" s="148">
        <v>5.9</v>
      </c>
      <c r="K60" s="214"/>
      <c r="L60" s="215"/>
      <c r="M60" s="151">
        <f>J60/4</f>
        <v>1.4750000000000001</v>
      </c>
      <c r="N60" s="151">
        <f>J60/4</f>
        <v>1.4750000000000001</v>
      </c>
      <c r="O60" s="151">
        <f>J60/4</f>
        <v>1.4750000000000001</v>
      </c>
      <c r="P60" s="151">
        <f>J60/4</f>
        <v>1.4750000000000001</v>
      </c>
    </row>
    <row r="61" spans="1:19" ht="52.5" customHeight="1" thickBot="1">
      <c r="A61" s="144" t="s">
        <v>276</v>
      </c>
      <c r="B61" s="145" t="s">
        <v>70</v>
      </c>
      <c r="C61" s="213" t="s">
        <v>250</v>
      </c>
      <c r="D61" s="148" t="e">
        <f>D9+D44</f>
        <v>#REF!</v>
      </c>
      <c r="E61" s="148" t="e">
        <f>E9+E44</f>
        <v>#REF!</v>
      </c>
      <c r="F61" s="148" t="e">
        <f>F9+F44</f>
        <v>#REF!</v>
      </c>
      <c r="G61" s="147">
        <f t="shared" ref="G61:L61" si="23">G63+G64</f>
        <v>885.9</v>
      </c>
      <c r="H61" s="147">
        <f t="shared" si="23"/>
        <v>329.9</v>
      </c>
      <c r="I61" s="147">
        <f t="shared" si="23"/>
        <v>387</v>
      </c>
      <c r="J61" s="148">
        <f t="shared" si="23"/>
        <v>726.5</v>
      </c>
      <c r="K61" s="216">
        <f t="shared" si="23"/>
        <v>1734.1</v>
      </c>
      <c r="L61" s="217">
        <f t="shared" si="23"/>
        <v>1835.1999999999998</v>
      </c>
      <c r="M61" s="151">
        <f>M63+M64</f>
        <v>181.625</v>
      </c>
      <c r="N61" s="151">
        <f>N63+N64</f>
        <v>181.625</v>
      </c>
      <c r="O61" s="151">
        <f>O63+O64</f>
        <v>181.625</v>
      </c>
      <c r="P61" s="151">
        <f>P63+P64</f>
        <v>181.625</v>
      </c>
    </row>
    <row r="62" spans="1:19" ht="66">
      <c r="A62" s="144" t="s">
        <v>178</v>
      </c>
      <c r="B62" s="145" t="s">
        <v>177</v>
      </c>
      <c r="C62" s="213" t="s">
        <v>179</v>
      </c>
      <c r="D62" s="218">
        <v>30381.3</v>
      </c>
      <c r="E62" s="218">
        <f>[1]ведомст.структ!I79</f>
        <v>20086.600000000002</v>
      </c>
      <c r="F62" s="218">
        <f>[1]ведомст.структ!J79</f>
        <v>30141.100000000002</v>
      </c>
      <c r="G62" s="219">
        <f t="shared" ref="G62:L62" si="24">G63+G64</f>
        <v>885.9</v>
      </c>
      <c r="H62" s="219">
        <f t="shared" si="24"/>
        <v>329.9</v>
      </c>
      <c r="I62" s="219">
        <f t="shared" si="24"/>
        <v>387</v>
      </c>
      <c r="J62" s="206">
        <f t="shared" si="24"/>
        <v>726.5</v>
      </c>
      <c r="K62" s="220">
        <f t="shared" si="24"/>
        <v>1734.1</v>
      </c>
      <c r="L62" s="221">
        <f t="shared" si="24"/>
        <v>1835.1999999999998</v>
      </c>
      <c r="M62" s="151">
        <f>M63+M64</f>
        <v>181.625</v>
      </c>
      <c r="N62" s="151">
        <f>N63+N64</f>
        <v>181.625</v>
      </c>
      <c r="O62" s="151">
        <f>O63+O64</f>
        <v>181.625</v>
      </c>
      <c r="P62" s="151">
        <f>P63+P64</f>
        <v>181.625</v>
      </c>
    </row>
    <row r="63" spans="1:19" ht="45" customHeight="1">
      <c r="A63" s="144" t="s">
        <v>180</v>
      </c>
      <c r="B63" s="145" t="s">
        <v>75</v>
      </c>
      <c r="C63" s="146" t="s">
        <v>251</v>
      </c>
      <c r="D63" s="181" t="e">
        <f>D61-D62</f>
        <v>#REF!</v>
      </c>
      <c r="E63" s="181" t="e">
        <f>E61-E62</f>
        <v>#REF!</v>
      </c>
      <c r="F63" s="181" t="e">
        <f>F61-F62</f>
        <v>#REF!</v>
      </c>
      <c r="G63" s="147">
        <v>602.4</v>
      </c>
      <c r="H63" s="147">
        <v>258</v>
      </c>
      <c r="I63" s="147">
        <f>H63/8*12</f>
        <v>387</v>
      </c>
      <c r="J63" s="148">
        <v>726.5</v>
      </c>
      <c r="K63" s="222">
        <v>1155.3</v>
      </c>
      <c r="L63" s="190">
        <v>1218.8</v>
      </c>
      <c r="M63" s="151">
        <f>J63/4</f>
        <v>181.625</v>
      </c>
      <c r="N63" s="151">
        <f>J63/4</f>
        <v>181.625</v>
      </c>
      <c r="O63" s="151">
        <f>J63/4</f>
        <v>181.625</v>
      </c>
      <c r="P63" s="151">
        <f>J63/4</f>
        <v>181.625</v>
      </c>
    </row>
    <row r="64" spans="1:19" ht="46.5" customHeight="1" thickBot="1">
      <c r="A64" s="144" t="s">
        <v>277</v>
      </c>
      <c r="B64" s="145" t="s">
        <v>215</v>
      </c>
      <c r="C64" s="146" t="s">
        <v>252</v>
      </c>
      <c r="D64" s="154"/>
      <c r="E64" s="223"/>
      <c r="F64" s="223"/>
      <c r="G64" s="147">
        <v>283.5</v>
      </c>
      <c r="H64" s="147">
        <v>71.900000000000006</v>
      </c>
      <c r="I64" s="147"/>
      <c r="J64" s="148">
        <v>0</v>
      </c>
      <c r="K64" s="222">
        <v>578.79999999999995</v>
      </c>
      <c r="L64" s="190">
        <v>616.4</v>
      </c>
      <c r="M64" s="151">
        <f>J64/4</f>
        <v>0</v>
      </c>
      <c r="N64" s="151">
        <f>J64/4</f>
        <v>0</v>
      </c>
      <c r="O64" s="151">
        <f>J64/4</f>
        <v>0</v>
      </c>
      <c r="P64" s="151">
        <f>J64/4</f>
        <v>0</v>
      </c>
    </row>
    <row r="65" spans="1:16" ht="18" thickBot="1">
      <c r="A65" s="123"/>
      <c r="B65" s="224"/>
      <c r="C65" s="225" t="s">
        <v>7</v>
      </c>
      <c r="D65" s="218" t="e">
        <f>D61-D44</f>
        <v>#REF!</v>
      </c>
      <c r="E65" s="218" t="e">
        <f>E61-E44</f>
        <v>#REF!</v>
      </c>
      <c r="F65" s="218" t="e">
        <f>F61-F44</f>
        <v>#REF!</v>
      </c>
      <c r="G65" s="218">
        <f t="shared" ref="G65:P65" si="25">G9+G48</f>
        <v>51728.200000000004</v>
      </c>
      <c r="H65" s="218">
        <f t="shared" si="25"/>
        <v>23927.699999999997</v>
      </c>
      <c r="I65" s="218">
        <f t="shared" si="25"/>
        <v>48661.7</v>
      </c>
      <c r="J65" s="218">
        <f>J9+J48</f>
        <v>92568.5</v>
      </c>
      <c r="K65" s="226">
        <f t="shared" si="25"/>
        <v>87828.79</v>
      </c>
      <c r="L65" s="227">
        <f t="shared" si="25"/>
        <v>89475.092449999996</v>
      </c>
      <c r="M65" s="155">
        <f t="shared" si="25"/>
        <v>25029.891666666663</v>
      </c>
      <c r="N65" s="155">
        <f t="shared" si="25"/>
        <v>25029.891666666663</v>
      </c>
      <c r="O65" s="155">
        <f t="shared" si="25"/>
        <v>25029.891666666663</v>
      </c>
      <c r="P65" s="155">
        <f t="shared" si="25"/>
        <v>16664.224999999999</v>
      </c>
    </row>
    <row r="66" spans="1:16" ht="17.399999999999999" hidden="1">
      <c r="A66" s="108"/>
      <c r="B66" s="107"/>
      <c r="C66" s="106" t="s">
        <v>9</v>
      </c>
      <c r="G66" s="109" t="e">
        <f>#REF!</f>
        <v>#REF!</v>
      </c>
      <c r="H66" s="109" t="e">
        <f>#REF!</f>
        <v>#REF!</v>
      </c>
      <c r="I66" s="109" t="e">
        <f>#REF!</f>
        <v>#REF!</v>
      </c>
      <c r="J66" s="109" t="e">
        <f>#REF!</f>
        <v>#REF!</v>
      </c>
      <c r="K66" s="109" t="e">
        <f>#REF!</f>
        <v>#REF!</v>
      </c>
      <c r="L66" s="109" t="e">
        <f>#REF!</f>
        <v>#REF!</v>
      </c>
    </row>
    <row r="67" spans="1:16" ht="18" hidden="1">
      <c r="A67" s="108"/>
      <c r="B67" s="107"/>
      <c r="C67" s="104" t="s">
        <v>10</v>
      </c>
      <c r="G67" s="105" t="e">
        <f t="shared" ref="G67:L67" si="26">G65-G66</f>
        <v>#REF!</v>
      </c>
      <c r="H67" s="105" t="e">
        <f t="shared" si="26"/>
        <v>#REF!</v>
      </c>
      <c r="I67" s="105" t="e">
        <f t="shared" si="26"/>
        <v>#REF!</v>
      </c>
      <c r="J67" s="105" t="e">
        <f>J65-J66</f>
        <v>#REF!</v>
      </c>
      <c r="K67" s="105" t="e">
        <f t="shared" si="26"/>
        <v>#REF!</v>
      </c>
      <c r="L67" s="105" t="e">
        <f t="shared" si="26"/>
        <v>#REF!</v>
      </c>
    </row>
    <row r="68" spans="1:16" hidden="1">
      <c r="A68" s="110"/>
    </row>
    <row r="69" spans="1:16" ht="18" hidden="1" thickBot="1">
      <c r="A69" s="111"/>
      <c r="B69" s="112" t="s">
        <v>186</v>
      </c>
      <c r="C69" s="112"/>
      <c r="G69" s="103">
        <f t="shared" ref="G69:L69" si="27">G65-G48</f>
        <v>29725.4</v>
      </c>
      <c r="H69" s="103">
        <f t="shared" si="27"/>
        <v>17464.399999999998</v>
      </c>
      <c r="I69" s="103">
        <f t="shared" si="27"/>
        <v>29091.899999999994</v>
      </c>
      <c r="J69" s="103">
        <f t="shared" si="27"/>
        <v>26445.600000000006</v>
      </c>
      <c r="K69" s="103">
        <f t="shared" si="27"/>
        <v>27354.589999999997</v>
      </c>
      <c r="L69" s="103">
        <f t="shared" si="27"/>
        <v>28859.092449999996</v>
      </c>
    </row>
    <row r="70" spans="1:16" hidden="1"/>
    <row r="71" spans="1:16" hidden="1"/>
    <row r="72" spans="1:16" hidden="1">
      <c r="J72" s="2">
        <f>J65-J56</f>
        <v>91037.8</v>
      </c>
    </row>
    <row r="73" spans="1:16" hidden="1">
      <c r="J73" s="2">
        <f>J72*0.31</f>
        <v>28221.718000000001</v>
      </c>
    </row>
    <row r="74" spans="1:16" hidden="1"/>
    <row r="75" spans="1:16" hidden="1"/>
    <row r="77" spans="1:16">
      <c r="P77" s="116"/>
    </row>
  </sheetData>
  <mergeCells count="5">
    <mergeCell ref="A6:P6"/>
    <mergeCell ref="O7:P7"/>
    <mergeCell ref="C1:P1"/>
    <mergeCell ref="C4:P4"/>
    <mergeCell ref="A5:P5"/>
  </mergeCells>
  <pageMargins left="0.59055118110236227" right="0.39370078740157483" top="0.39370078740157483" bottom="0.39370078740157483" header="0" footer="0"/>
  <pageSetup paperSize="9" scale="70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zoomScale="87" zoomScaleNormal="87" workbookViewId="0">
      <selection activeCell="E11" sqref="E11"/>
    </sheetView>
  </sheetViews>
  <sheetFormatPr defaultColWidth="9.109375" defaultRowHeight="13.8"/>
  <cols>
    <col min="1" max="1" width="8.109375" style="285" customWidth="1"/>
    <col min="2" max="2" width="26.33203125" style="1" customWidth="1"/>
    <col min="3" max="3" width="42.33203125" style="2" customWidth="1"/>
    <col min="4" max="4" width="11.6640625" style="6" hidden="1" customWidth="1"/>
    <col min="5" max="5" width="17.109375" style="2" customWidth="1"/>
    <col min="6" max="6" width="12.6640625" style="2" hidden="1" customWidth="1"/>
    <col min="7" max="7" width="12" style="2" hidden="1" customWidth="1"/>
    <col min="8" max="8" width="10.109375" style="2" hidden="1" customWidth="1"/>
    <col min="9" max="11" width="0" style="2" hidden="1" customWidth="1"/>
    <col min="12" max="12" width="17" style="2" hidden="1" customWidth="1"/>
    <col min="13" max="13" width="16.5546875" style="2" hidden="1" customWidth="1"/>
    <col min="14" max="14" width="15.6640625" style="284" customWidth="1"/>
    <col min="15" max="15" width="19.44140625" style="285" customWidth="1"/>
    <col min="16" max="16384" width="9.109375" style="2"/>
  </cols>
  <sheetData>
    <row r="1" spans="1:17" ht="21" customHeight="1">
      <c r="A1" s="288"/>
      <c r="B1" s="118"/>
      <c r="C1" s="277"/>
      <c r="D1" s="281"/>
      <c r="E1" s="277"/>
      <c r="F1" s="281"/>
      <c r="G1" s="281"/>
      <c r="H1" s="281"/>
      <c r="I1" s="281"/>
      <c r="J1" s="281"/>
      <c r="K1" s="281"/>
      <c r="O1" s="278" t="s">
        <v>430</v>
      </c>
    </row>
    <row r="2" spans="1:17" ht="34.5" customHeight="1">
      <c r="A2" s="289"/>
      <c r="B2" s="119"/>
      <c r="C2" s="534" t="s">
        <v>447</v>
      </c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265"/>
      <c r="Q2" s="265"/>
    </row>
    <row r="3" spans="1:17" ht="21" customHeight="1">
      <c r="A3" s="289"/>
      <c r="B3" s="119"/>
      <c r="C3" s="119"/>
      <c r="D3" s="119"/>
      <c r="E3" s="120"/>
      <c r="F3" s="119"/>
      <c r="G3" s="119"/>
      <c r="H3" s="119"/>
      <c r="I3" s="119"/>
      <c r="J3" s="119"/>
      <c r="K3" s="119"/>
      <c r="O3" s="287" t="s">
        <v>480</v>
      </c>
    </row>
    <row r="4" spans="1:17" ht="22.5" customHeight="1">
      <c r="A4" s="530" t="s">
        <v>411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</row>
    <row r="5" spans="1:17" ht="27.6" customHeight="1">
      <c r="A5" s="530" t="s">
        <v>481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</row>
    <row r="6" spans="1:17" ht="27.6" customHeight="1" thickBot="1">
      <c r="A6" s="530"/>
      <c r="B6" s="530"/>
      <c r="C6" s="530"/>
      <c r="D6" s="530"/>
      <c r="E6" s="530"/>
      <c r="F6" s="530"/>
      <c r="G6" s="530"/>
      <c r="H6" s="530"/>
      <c r="I6" s="530"/>
      <c r="J6" s="530"/>
      <c r="K6" s="530"/>
    </row>
    <row r="7" spans="1:17" s="3" customFormat="1" ht="53.4" thickBot="1">
      <c r="A7" s="122" t="s">
        <v>0</v>
      </c>
      <c r="B7" s="122" t="s">
        <v>8</v>
      </c>
      <c r="C7" s="123" t="s">
        <v>1</v>
      </c>
      <c r="D7" s="124" t="s">
        <v>184</v>
      </c>
      <c r="E7" s="124" t="s">
        <v>414</v>
      </c>
      <c r="F7" s="125" t="s">
        <v>214</v>
      </c>
      <c r="G7" s="126" t="s">
        <v>217</v>
      </c>
      <c r="H7" s="127" t="s">
        <v>298</v>
      </c>
      <c r="I7" s="127" t="s">
        <v>299</v>
      </c>
      <c r="J7" s="127" t="s">
        <v>300</v>
      </c>
      <c r="K7" s="127" t="s">
        <v>301</v>
      </c>
      <c r="L7" s="124" t="s">
        <v>262</v>
      </c>
      <c r="M7" s="124" t="s">
        <v>262</v>
      </c>
      <c r="N7" s="275" t="s">
        <v>412</v>
      </c>
      <c r="O7" s="279" t="s">
        <v>413</v>
      </c>
    </row>
    <row r="8" spans="1:17" s="4" customFormat="1" ht="15.6">
      <c r="A8" s="123" t="s">
        <v>2</v>
      </c>
      <c r="B8" s="204" t="s">
        <v>13</v>
      </c>
      <c r="C8" s="262" t="s">
        <v>271</v>
      </c>
      <c r="D8" s="181" t="e">
        <f>D9+#REF!+D18+D21+#REF!</f>
        <v>#REF!</v>
      </c>
      <c r="E8" s="218">
        <f>E9+E18+E25+E30</f>
        <v>50429.3</v>
      </c>
      <c r="F8" s="218" t="e">
        <f>F9+#REF!+F18+F25+F30</f>
        <v>#REF!</v>
      </c>
      <c r="G8" s="218" t="e">
        <f>G9+#REF!+G18+G25+G30</f>
        <v>#REF!</v>
      </c>
      <c r="H8" s="218" t="e">
        <f>H9+#REF!+H18+H25+H30</f>
        <v>#REF!</v>
      </c>
      <c r="I8" s="218" t="e">
        <f>I9+#REF!+I18+I25+I30</f>
        <v>#REF!</v>
      </c>
      <c r="J8" s="218" t="e">
        <f>J9+#REF!+J18+J25+J30</f>
        <v>#REF!</v>
      </c>
      <c r="K8" s="218" t="e">
        <f>K9+#REF!+K18+K25+K30</f>
        <v>#REF!</v>
      </c>
      <c r="L8" s="218" t="e">
        <f>L9+#REF!+L18+L25+L30</f>
        <v>#REF!</v>
      </c>
      <c r="M8" s="218" t="e">
        <f>M9+#REF!+M18+M25+M30</f>
        <v>#REF!</v>
      </c>
      <c r="N8" s="282">
        <f>N9+N18+N25+N30+N38</f>
        <v>60145.000000000007</v>
      </c>
      <c r="O8" s="286">
        <f>N8/E8</f>
        <v>1.1926598227617675</v>
      </c>
    </row>
    <row r="9" spans="1:17" s="6" customFormat="1" ht="34.5" customHeight="1">
      <c r="A9" s="123" t="s">
        <v>6</v>
      </c>
      <c r="B9" s="204" t="s">
        <v>131</v>
      </c>
      <c r="C9" s="205" t="s">
        <v>4</v>
      </c>
      <c r="D9" s="181" t="e">
        <f>D10+D15</f>
        <v>#REF!</v>
      </c>
      <c r="E9" s="218">
        <f>E10+E15+E17</f>
        <v>39606.800000000003</v>
      </c>
      <c r="F9" s="218" t="e">
        <f>F10+F15+#REF!</f>
        <v>#REF!</v>
      </c>
      <c r="G9" s="218" t="e">
        <f>G10+G15+#REF!</f>
        <v>#REF!</v>
      </c>
      <c r="H9" s="218" t="e">
        <f>H10+H15+#REF!</f>
        <v>#REF!</v>
      </c>
      <c r="I9" s="218" t="e">
        <f>I10+I15+#REF!</f>
        <v>#REF!</v>
      </c>
      <c r="J9" s="218" t="e">
        <f>J10+J15+#REF!</f>
        <v>#REF!</v>
      </c>
      <c r="K9" s="218" t="e">
        <f>K10+K15+#REF!</f>
        <v>#REF!</v>
      </c>
      <c r="L9" s="218" t="e">
        <f>L10+L15+#REF!</f>
        <v>#REF!</v>
      </c>
      <c r="M9" s="218" t="e">
        <f>M10+M15+#REF!</f>
        <v>#REF!</v>
      </c>
      <c r="N9" s="282">
        <f>N10+N15+N17</f>
        <v>50836.200000000004</v>
      </c>
      <c r="O9" s="286">
        <f t="shared" ref="O9:O55" si="0">N9/E9</f>
        <v>1.2835220214710605</v>
      </c>
    </row>
    <row r="10" spans="1:17" s="6" customFormat="1" ht="36" customHeight="1">
      <c r="A10" s="178" t="s">
        <v>54</v>
      </c>
      <c r="B10" s="145" t="s">
        <v>211</v>
      </c>
      <c r="C10" s="146" t="s">
        <v>125</v>
      </c>
      <c r="D10" s="147" t="e">
        <f>D11+#REF!+#REF!+#REF!</f>
        <v>#REF!</v>
      </c>
      <c r="E10" s="360">
        <f>E11+E12</f>
        <v>36956.800000000003</v>
      </c>
      <c r="F10" s="148" t="e">
        <f>F11+#REF!+F14</f>
        <v>#REF!</v>
      </c>
      <c r="G10" s="148" t="e">
        <f>G11+#REF!+G14</f>
        <v>#REF!</v>
      </c>
      <c r="H10" s="148" t="e">
        <f>H11+#REF!+H14</f>
        <v>#REF!</v>
      </c>
      <c r="I10" s="148" t="e">
        <f>I11+#REF!+I14</f>
        <v>#REF!</v>
      </c>
      <c r="J10" s="148" t="e">
        <f>J11+#REF!+J14</f>
        <v>#REF!</v>
      </c>
      <c r="K10" s="148" t="e">
        <f>K11+#REF!+K14</f>
        <v>#REF!</v>
      </c>
      <c r="L10" s="148" t="e">
        <f>L11+#REF!+L14</f>
        <v>#REF!</v>
      </c>
      <c r="M10" s="148" t="e">
        <f>M11+#REF!+M14</f>
        <v>#REF!</v>
      </c>
      <c r="N10" s="283">
        <f>N11+N13</f>
        <v>48725.8</v>
      </c>
      <c r="O10" s="286">
        <f t="shared" si="0"/>
        <v>1.3184528963546627</v>
      </c>
    </row>
    <row r="11" spans="1:17" s="6" customFormat="1" ht="48" customHeight="1">
      <c r="A11" s="178" t="s">
        <v>39</v>
      </c>
      <c r="B11" s="145" t="s">
        <v>167</v>
      </c>
      <c r="C11" s="146" t="s">
        <v>126</v>
      </c>
      <c r="D11" s="147">
        <v>6131.4</v>
      </c>
      <c r="E11" s="360">
        <v>24456.799999999999</v>
      </c>
      <c r="F11" s="152">
        <f>E11*1.058</f>
        <v>25875.294399999999</v>
      </c>
      <c r="G11" s="153">
        <f>F11*1.055</f>
        <v>27298.435591999998</v>
      </c>
      <c r="H11" s="151">
        <f>E11/3</f>
        <v>8152.2666666666664</v>
      </c>
      <c r="I11" s="151">
        <f>E11/3</f>
        <v>8152.2666666666664</v>
      </c>
      <c r="J11" s="151">
        <f>E11/3</f>
        <v>8152.2666666666664</v>
      </c>
      <c r="K11" s="151">
        <v>0</v>
      </c>
      <c r="L11" s="148">
        <f>E11*108%</f>
        <v>26413.344000000001</v>
      </c>
      <c r="M11" s="148">
        <f>L11*106.9%</f>
        <v>28235.864736</v>
      </c>
      <c r="N11" s="243">
        <v>32319.8</v>
      </c>
      <c r="O11" s="286">
        <f t="shared" si="0"/>
        <v>1.3215056753132053</v>
      </c>
    </row>
    <row r="12" spans="1:17" s="6" customFormat="1" ht="48" customHeight="1">
      <c r="A12" s="178" t="s">
        <v>55</v>
      </c>
      <c r="B12" s="145" t="s">
        <v>238</v>
      </c>
      <c r="C12" s="146" t="s">
        <v>479</v>
      </c>
      <c r="D12" s="147"/>
      <c r="E12" s="360">
        <v>12500</v>
      </c>
      <c r="F12" s="152"/>
      <c r="G12" s="152"/>
      <c r="H12" s="151"/>
      <c r="I12" s="151"/>
      <c r="J12" s="151"/>
      <c r="K12" s="151"/>
      <c r="L12" s="148"/>
      <c r="M12" s="148"/>
      <c r="N12" s="243">
        <v>16406</v>
      </c>
      <c r="O12" s="286">
        <v>2.6</v>
      </c>
    </row>
    <row r="13" spans="1:17" s="6" customFormat="1" ht="66.75" customHeight="1">
      <c r="A13" s="178" t="s">
        <v>210</v>
      </c>
      <c r="B13" s="145" t="s">
        <v>170</v>
      </c>
      <c r="C13" s="146" t="s">
        <v>127</v>
      </c>
      <c r="D13" s="147"/>
      <c r="E13" s="360">
        <v>12500</v>
      </c>
      <c r="F13" s="148" t="e">
        <f>#REF!</f>
        <v>#REF!</v>
      </c>
      <c r="G13" s="148" t="e">
        <f>#REF!</f>
        <v>#REF!</v>
      </c>
      <c r="H13" s="148" t="e">
        <f>#REF!</f>
        <v>#REF!</v>
      </c>
      <c r="I13" s="148" t="e">
        <f>#REF!</f>
        <v>#REF!</v>
      </c>
      <c r="J13" s="148" t="e">
        <f>#REF!</f>
        <v>#REF!</v>
      </c>
      <c r="K13" s="148" t="e">
        <f>#REF!</f>
        <v>#REF!</v>
      </c>
      <c r="L13" s="148" t="e">
        <f>#REF!</f>
        <v>#REF!</v>
      </c>
      <c r="M13" s="148" t="e">
        <f>#REF!</f>
        <v>#REF!</v>
      </c>
      <c r="N13" s="283">
        <v>16406</v>
      </c>
      <c r="O13" s="286">
        <f t="shared" si="0"/>
        <v>1.3124800000000001</v>
      </c>
    </row>
    <row r="14" spans="1:17" s="6" customFormat="1" ht="47.4" customHeight="1">
      <c r="A14" s="178" t="s">
        <v>210</v>
      </c>
      <c r="B14" s="145" t="s">
        <v>208</v>
      </c>
      <c r="C14" s="146" t="s">
        <v>494</v>
      </c>
      <c r="D14" s="147"/>
      <c r="E14" s="360">
        <v>0</v>
      </c>
      <c r="F14" s="152">
        <f t="shared" ref="F14:F33" si="1">E14*1.058</f>
        <v>0</v>
      </c>
      <c r="G14" s="153">
        <f t="shared" ref="G14:G33" si="2">F14*1.055</f>
        <v>0</v>
      </c>
      <c r="H14" s="151">
        <f>E14/4</f>
        <v>0</v>
      </c>
      <c r="I14" s="151">
        <f>E14/4</f>
        <v>0</v>
      </c>
      <c r="J14" s="151">
        <f>E14/4</f>
        <v>0</v>
      </c>
      <c r="K14" s="151">
        <f>E14/4</f>
        <v>0</v>
      </c>
      <c r="L14" s="148">
        <f>E14*108%</f>
        <v>0</v>
      </c>
      <c r="M14" s="148">
        <f>L14*106.9%</f>
        <v>0</v>
      </c>
      <c r="N14" s="243">
        <v>0</v>
      </c>
      <c r="O14" s="286">
        <v>0</v>
      </c>
      <c r="P14" s="270"/>
    </row>
    <row r="15" spans="1:17" s="6" customFormat="1" ht="46.2" customHeight="1">
      <c r="A15" s="178" t="s">
        <v>142</v>
      </c>
      <c r="B15" s="145" t="s">
        <v>213</v>
      </c>
      <c r="C15" s="146" t="s">
        <v>354</v>
      </c>
      <c r="D15" s="147" t="e">
        <f>D16+#REF!</f>
        <v>#REF!</v>
      </c>
      <c r="E15" s="361">
        <v>700</v>
      </c>
      <c r="F15" s="218">
        <f t="shared" ref="F15:M15" si="3">F16</f>
        <v>740.6</v>
      </c>
      <c r="G15" s="218">
        <f t="shared" si="3"/>
        <v>781.33299999999997</v>
      </c>
      <c r="H15" s="218">
        <f t="shared" si="3"/>
        <v>233.33333333333334</v>
      </c>
      <c r="I15" s="218">
        <f t="shared" si="3"/>
        <v>233.33333333333334</v>
      </c>
      <c r="J15" s="218">
        <f t="shared" si="3"/>
        <v>233.33333333333334</v>
      </c>
      <c r="K15" s="218">
        <f t="shared" si="3"/>
        <v>0</v>
      </c>
      <c r="L15" s="218">
        <f t="shared" si="3"/>
        <v>756</v>
      </c>
      <c r="M15" s="218">
        <f t="shared" si="3"/>
        <v>808.16399999999999</v>
      </c>
      <c r="N15" s="282">
        <v>459.8</v>
      </c>
      <c r="O15" s="286">
        <f t="shared" si="0"/>
        <v>0.65685714285714292</v>
      </c>
    </row>
    <row r="16" spans="1:17" s="4" customFormat="1" ht="48.6" customHeight="1">
      <c r="A16" s="178" t="s">
        <v>154</v>
      </c>
      <c r="B16" s="145" t="s">
        <v>173</v>
      </c>
      <c r="C16" s="146" t="s">
        <v>354</v>
      </c>
      <c r="D16" s="147">
        <v>120</v>
      </c>
      <c r="E16" s="360">
        <v>700</v>
      </c>
      <c r="F16" s="152">
        <f t="shared" si="1"/>
        <v>740.6</v>
      </c>
      <c r="G16" s="153">
        <f t="shared" si="2"/>
        <v>781.33299999999997</v>
      </c>
      <c r="H16" s="151">
        <f>E16/3</f>
        <v>233.33333333333334</v>
      </c>
      <c r="I16" s="151">
        <f>E16/3</f>
        <v>233.33333333333334</v>
      </c>
      <c r="J16" s="151">
        <f>E16/3</f>
        <v>233.33333333333334</v>
      </c>
      <c r="K16" s="151">
        <v>0</v>
      </c>
      <c r="L16" s="148">
        <f>E16*108%</f>
        <v>756</v>
      </c>
      <c r="M16" s="148">
        <f>L16*106.9%</f>
        <v>808.16399999999999</v>
      </c>
      <c r="N16" s="243">
        <v>459.8</v>
      </c>
      <c r="O16" s="286">
        <f t="shared" si="0"/>
        <v>0.65685714285714292</v>
      </c>
    </row>
    <row r="17" spans="1:15" s="4" customFormat="1" ht="46.8" customHeight="1">
      <c r="A17" s="178" t="s">
        <v>199</v>
      </c>
      <c r="B17" s="145" t="s">
        <v>323</v>
      </c>
      <c r="C17" s="146" t="s">
        <v>324</v>
      </c>
      <c r="D17" s="147">
        <v>120</v>
      </c>
      <c r="E17" s="361">
        <v>1950</v>
      </c>
      <c r="F17" s="362">
        <f t="shared" ref="F17" si="4">E17*1.058</f>
        <v>2063.1</v>
      </c>
      <c r="G17" s="363">
        <f t="shared" ref="G17" si="5">F17*1.055</f>
        <v>2176.5704999999998</v>
      </c>
      <c r="H17" s="155">
        <f>E17/3</f>
        <v>650</v>
      </c>
      <c r="I17" s="155">
        <f>E17/3</f>
        <v>650</v>
      </c>
      <c r="J17" s="155">
        <f>E17/3</f>
        <v>650</v>
      </c>
      <c r="K17" s="155">
        <v>0</v>
      </c>
      <c r="L17" s="218">
        <f>E17*108%</f>
        <v>2106</v>
      </c>
      <c r="M17" s="218">
        <f>L17*106.9%</f>
        <v>2251.3139999999999</v>
      </c>
      <c r="N17" s="242">
        <v>1650.6</v>
      </c>
      <c r="O17" s="286">
        <f t="shared" ref="O17" si="6">N17/E17</f>
        <v>0.84646153846153838</v>
      </c>
    </row>
    <row r="18" spans="1:15" s="6" customFormat="1" ht="65.400000000000006" customHeight="1">
      <c r="A18" s="123">
        <v>2</v>
      </c>
      <c r="B18" s="204" t="s">
        <v>14</v>
      </c>
      <c r="C18" s="205" t="s">
        <v>128</v>
      </c>
      <c r="D18" s="181" t="e">
        <f>#REF!+#REF!+#REF!+#REF!+#REF!</f>
        <v>#REF!</v>
      </c>
      <c r="E18" s="218">
        <f>E19+E23</f>
        <v>7812.5</v>
      </c>
      <c r="F18" s="218">
        <f t="shared" ref="F18:N18" si="7">F19+F23</f>
        <v>8265.625</v>
      </c>
      <c r="G18" s="218">
        <f t="shared" si="7"/>
        <v>8720.234375</v>
      </c>
      <c r="H18" s="218">
        <f t="shared" si="7"/>
        <v>2603.125</v>
      </c>
      <c r="I18" s="218">
        <f t="shared" si="7"/>
        <v>2603.125</v>
      </c>
      <c r="J18" s="218">
        <f t="shared" si="7"/>
        <v>2603.125</v>
      </c>
      <c r="K18" s="218">
        <f t="shared" si="7"/>
        <v>3.125</v>
      </c>
      <c r="L18" s="218">
        <f t="shared" si="7"/>
        <v>8437.5</v>
      </c>
      <c r="M18" s="218">
        <f t="shared" si="7"/>
        <v>9019.6875</v>
      </c>
      <c r="N18" s="282">
        <f t="shared" si="7"/>
        <v>7535.9000000000005</v>
      </c>
      <c r="O18" s="286">
        <f t="shared" si="0"/>
        <v>0.9645952000000001</v>
      </c>
    </row>
    <row r="19" spans="1:15" s="6" customFormat="1" ht="100.2" customHeight="1">
      <c r="A19" s="178" t="s">
        <v>56</v>
      </c>
      <c r="B19" s="163" t="s">
        <v>140</v>
      </c>
      <c r="C19" s="146" t="s">
        <v>174</v>
      </c>
      <c r="D19" s="181"/>
      <c r="E19" s="148">
        <v>7800</v>
      </c>
      <c r="F19" s="148">
        <f t="shared" ref="F19:N21" si="8">F20</f>
        <v>8252.4</v>
      </c>
      <c r="G19" s="148">
        <f t="shared" si="8"/>
        <v>8706.2819999999992</v>
      </c>
      <c r="H19" s="148">
        <f t="shared" si="8"/>
        <v>2600</v>
      </c>
      <c r="I19" s="148">
        <f t="shared" si="8"/>
        <v>2600</v>
      </c>
      <c r="J19" s="148">
        <f t="shared" si="8"/>
        <v>2600</v>
      </c>
      <c r="K19" s="148">
        <f t="shared" si="8"/>
        <v>0</v>
      </c>
      <c r="L19" s="148">
        <f t="shared" si="8"/>
        <v>8424</v>
      </c>
      <c r="M19" s="148">
        <f t="shared" si="8"/>
        <v>9005.2559999999994</v>
      </c>
      <c r="N19" s="283">
        <v>7517.1</v>
      </c>
      <c r="O19" s="286">
        <f t="shared" si="0"/>
        <v>0.96373076923076928</v>
      </c>
    </row>
    <row r="20" spans="1:15" s="6" customFormat="1" ht="84" customHeight="1">
      <c r="A20" s="178" t="s">
        <v>57</v>
      </c>
      <c r="B20" s="163" t="s">
        <v>141</v>
      </c>
      <c r="C20" s="146" t="s">
        <v>129</v>
      </c>
      <c r="D20" s="147">
        <v>5500</v>
      </c>
      <c r="E20" s="148">
        <v>7800</v>
      </c>
      <c r="F20" s="148">
        <f t="shared" si="8"/>
        <v>8252.4</v>
      </c>
      <c r="G20" s="148">
        <f t="shared" si="8"/>
        <v>8706.2819999999992</v>
      </c>
      <c r="H20" s="148">
        <f t="shared" si="8"/>
        <v>2600</v>
      </c>
      <c r="I20" s="148">
        <f t="shared" si="8"/>
        <v>2600</v>
      </c>
      <c r="J20" s="148">
        <f t="shared" si="8"/>
        <v>2600</v>
      </c>
      <c r="K20" s="148">
        <f t="shared" si="8"/>
        <v>0</v>
      </c>
      <c r="L20" s="148">
        <f t="shared" si="8"/>
        <v>8424</v>
      </c>
      <c r="M20" s="148">
        <f t="shared" si="8"/>
        <v>9005.2559999999994</v>
      </c>
      <c r="N20" s="283">
        <v>7517.1</v>
      </c>
      <c r="O20" s="286">
        <f t="shared" si="0"/>
        <v>0.96373076923076928</v>
      </c>
    </row>
    <row r="21" spans="1:15" s="6" customFormat="1" ht="99.6" customHeight="1">
      <c r="A21" s="178" t="s">
        <v>148</v>
      </c>
      <c r="B21" s="163" t="s">
        <v>239</v>
      </c>
      <c r="C21" s="146" t="s">
        <v>360</v>
      </c>
      <c r="D21" s="181">
        <f>D22</f>
        <v>3450</v>
      </c>
      <c r="E21" s="148">
        <v>7800</v>
      </c>
      <c r="F21" s="148">
        <f t="shared" si="8"/>
        <v>8252.4</v>
      </c>
      <c r="G21" s="148">
        <f t="shared" si="8"/>
        <v>8706.2819999999992</v>
      </c>
      <c r="H21" s="148">
        <f t="shared" si="8"/>
        <v>2600</v>
      </c>
      <c r="I21" s="148">
        <f t="shared" si="8"/>
        <v>2600</v>
      </c>
      <c r="J21" s="148">
        <f t="shared" si="8"/>
        <v>2600</v>
      </c>
      <c r="K21" s="148">
        <f t="shared" si="8"/>
        <v>0</v>
      </c>
      <c r="L21" s="148">
        <f t="shared" si="8"/>
        <v>8424</v>
      </c>
      <c r="M21" s="148">
        <f t="shared" si="8"/>
        <v>9005.2559999999994</v>
      </c>
      <c r="N21" s="283">
        <f t="shared" si="8"/>
        <v>8117.4</v>
      </c>
      <c r="O21" s="286">
        <f t="shared" si="0"/>
        <v>1.0406923076923076</v>
      </c>
    </row>
    <row r="22" spans="1:15" s="6" customFormat="1" ht="91.8" customHeight="1">
      <c r="A22" s="178" t="s">
        <v>486</v>
      </c>
      <c r="B22" s="163" t="s">
        <v>201</v>
      </c>
      <c r="C22" s="146" t="s">
        <v>495</v>
      </c>
      <c r="D22" s="147">
        <f>D23</f>
        <v>3450</v>
      </c>
      <c r="E22" s="148">
        <v>7800</v>
      </c>
      <c r="F22" s="152">
        <f t="shared" si="1"/>
        <v>8252.4</v>
      </c>
      <c r="G22" s="153">
        <f t="shared" si="2"/>
        <v>8706.2819999999992</v>
      </c>
      <c r="H22" s="151">
        <f>E22/3</f>
        <v>2600</v>
      </c>
      <c r="I22" s="151">
        <f>E22/3</f>
        <v>2600</v>
      </c>
      <c r="J22" s="151">
        <f>E22/3</f>
        <v>2600</v>
      </c>
      <c r="K22" s="151">
        <v>0</v>
      </c>
      <c r="L22" s="148">
        <f>E22*108%</f>
        <v>8424</v>
      </c>
      <c r="M22" s="148">
        <f>L22*106.9%</f>
        <v>9005.2559999999994</v>
      </c>
      <c r="N22" s="243">
        <v>8117.4</v>
      </c>
      <c r="O22" s="286">
        <f t="shared" si="0"/>
        <v>1.0406923076923076</v>
      </c>
    </row>
    <row r="23" spans="1:15" s="6" customFormat="1" ht="42.75" customHeight="1">
      <c r="A23" s="178" t="s">
        <v>356</v>
      </c>
      <c r="B23" s="163" t="s">
        <v>242</v>
      </c>
      <c r="C23" s="146" t="s">
        <v>272</v>
      </c>
      <c r="D23" s="147">
        <f>D24</f>
        <v>3450</v>
      </c>
      <c r="E23" s="148">
        <f t="shared" ref="E23:M23" si="9">E24</f>
        <v>12.5</v>
      </c>
      <c r="F23" s="148">
        <f t="shared" si="9"/>
        <v>13.225000000000001</v>
      </c>
      <c r="G23" s="148">
        <f t="shared" si="9"/>
        <v>13.952375</v>
      </c>
      <c r="H23" s="148">
        <f t="shared" si="9"/>
        <v>3.125</v>
      </c>
      <c r="I23" s="148">
        <f t="shared" si="9"/>
        <v>3.125</v>
      </c>
      <c r="J23" s="148">
        <f t="shared" si="9"/>
        <v>3.125</v>
      </c>
      <c r="K23" s="148">
        <f t="shared" si="9"/>
        <v>3.125</v>
      </c>
      <c r="L23" s="148">
        <f t="shared" si="9"/>
        <v>13.5</v>
      </c>
      <c r="M23" s="148">
        <f t="shared" si="9"/>
        <v>14.4315</v>
      </c>
      <c r="N23" s="283">
        <v>18.8</v>
      </c>
      <c r="O23" s="286">
        <f t="shared" si="0"/>
        <v>1.504</v>
      </c>
    </row>
    <row r="24" spans="1:15" s="6" customFormat="1" ht="81.599999999999994" customHeight="1">
      <c r="A24" s="178" t="s">
        <v>357</v>
      </c>
      <c r="B24" s="163" t="s">
        <v>244</v>
      </c>
      <c r="C24" s="146" t="s">
        <v>330</v>
      </c>
      <c r="D24" s="147">
        <v>3450</v>
      </c>
      <c r="E24" s="148">
        <v>12.5</v>
      </c>
      <c r="F24" s="152">
        <f t="shared" si="1"/>
        <v>13.225000000000001</v>
      </c>
      <c r="G24" s="153">
        <f t="shared" si="2"/>
        <v>13.952375</v>
      </c>
      <c r="H24" s="151">
        <f>E24/4</f>
        <v>3.125</v>
      </c>
      <c r="I24" s="151">
        <f>E24/4</f>
        <v>3.125</v>
      </c>
      <c r="J24" s="151">
        <f>E24/4</f>
        <v>3.125</v>
      </c>
      <c r="K24" s="151">
        <f>E24/4</f>
        <v>3.125</v>
      </c>
      <c r="L24" s="148">
        <f>E24*108%</f>
        <v>13.5</v>
      </c>
      <c r="M24" s="148">
        <f>L24*106.9%</f>
        <v>14.4315</v>
      </c>
      <c r="N24" s="243">
        <v>10.199999999999999</v>
      </c>
      <c r="O24" s="286">
        <f t="shared" si="0"/>
        <v>0.81599999999999995</v>
      </c>
    </row>
    <row r="25" spans="1:15" s="5" customFormat="1" ht="56.25" customHeight="1">
      <c r="A25" s="123" t="s">
        <v>487</v>
      </c>
      <c r="B25" s="204" t="s">
        <v>49</v>
      </c>
      <c r="C25" s="263" t="s">
        <v>314</v>
      </c>
      <c r="D25" s="147">
        <v>15</v>
      </c>
      <c r="E25" s="218"/>
      <c r="F25" s="218">
        <f t="shared" ref="F25:N25" si="10">F26</f>
        <v>0</v>
      </c>
      <c r="G25" s="218">
        <f t="shared" si="10"/>
        <v>0</v>
      </c>
      <c r="H25" s="218">
        <f t="shared" si="10"/>
        <v>0</v>
      </c>
      <c r="I25" s="218">
        <f t="shared" si="10"/>
        <v>0</v>
      </c>
      <c r="J25" s="218">
        <f t="shared" si="10"/>
        <v>0</v>
      </c>
      <c r="K25" s="218">
        <f t="shared" si="10"/>
        <v>0</v>
      </c>
      <c r="L25" s="218">
        <f t="shared" si="10"/>
        <v>0</v>
      </c>
      <c r="M25" s="218">
        <f t="shared" si="10"/>
        <v>0</v>
      </c>
      <c r="N25" s="282">
        <f t="shared" si="10"/>
        <v>281.60000000000002</v>
      </c>
      <c r="O25" s="286">
        <v>0</v>
      </c>
    </row>
    <row r="26" spans="1:15" s="5" customFormat="1" ht="45" customHeight="1">
      <c r="A26" s="178" t="s">
        <v>58</v>
      </c>
      <c r="B26" s="163" t="s">
        <v>315</v>
      </c>
      <c r="C26" s="179" t="s">
        <v>316</v>
      </c>
      <c r="D26" s="147" t="e">
        <f>D27+#REF!</f>
        <v>#REF!</v>
      </c>
      <c r="E26" s="148">
        <v>0</v>
      </c>
      <c r="F26" s="148">
        <f t="shared" ref="F26:M26" si="11">F27</f>
        <v>0</v>
      </c>
      <c r="G26" s="148">
        <f t="shared" si="11"/>
        <v>0</v>
      </c>
      <c r="H26" s="148">
        <f t="shared" si="11"/>
        <v>0</v>
      </c>
      <c r="I26" s="148">
        <f t="shared" si="11"/>
        <v>0</v>
      </c>
      <c r="J26" s="148">
        <f t="shared" si="11"/>
        <v>0</v>
      </c>
      <c r="K26" s="148">
        <f t="shared" si="11"/>
        <v>0</v>
      </c>
      <c r="L26" s="148">
        <f t="shared" si="11"/>
        <v>0</v>
      </c>
      <c r="M26" s="148">
        <f t="shared" si="11"/>
        <v>0</v>
      </c>
      <c r="N26" s="283">
        <v>281.60000000000002</v>
      </c>
      <c r="O26" s="286">
        <v>0</v>
      </c>
    </row>
    <row r="27" spans="1:15" s="4" customFormat="1" ht="72" customHeight="1">
      <c r="A27" s="178" t="s">
        <v>59</v>
      </c>
      <c r="B27" s="163" t="s">
        <v>504</v>
      </c>
      <c r="C27" s="180" t="s">
        <v>361</v>
      </c>
      <c r="D27" s="181" t="e">
        <f>D29+D43+D40</f>
        <v>#REF!</v>
      </c>
      <c r="E27" s="148">
        <v>0</v>
      </c>
      <c r="F27" s="148">
        <f t="shared" ref="F27:M27" si="12">F29</f>
        <v>0</v>
      </c>
      <c r="G27" s="148">
        <f t="shared" si="12"/>
        <v>0</v>
      </c>
      <c r="H27" s="148">
        <f t="shared" si="12"/>
        <v>0</v>
      </c>
      <c r="I27" s="148">
        <f t="shared" si="12"/>
        <v>0</v>
      </c>
      <c r="J27" s="148">
        <f t="shared" si="12"/>
        <v>0</v>
      </c>
      <c r="K27" s="148">
        <f t="shared" si="12"/>
        <v>0</v>
      </c>
      <c r="L27" s="148">
        <f t="shared" si="12"/>
        <v>0</v>
      </c>
      <c r="M27" s="148">
        <f t="shared" si="12"/>
        <v>0</v>
      </c>
      <c r="N27" s="283">
        <v>281.60000000000002</v>
      </c>
      <c r="O27" s="286">
        <v>0</v>
      </c>
    </row>
    <row r="28" spans="1:15" s="5" customFormat="1" ht="100.8" customHeight="1">
      <c r="A28" s="178" t="s">
        <v>123</v>
      </c>
      <c r="B28" s="163" t="s">
        <v>415</v>
      </c>
      <c r="C28" s="180" t="s">
        <v>133</v>
      </c>
      <c r="D28" s="181" t="e">
        <f>#REF!</f>
        <v>#REF!</v>
      </c>
      <c r="E28" s="148">
        <v>0</v>
      </c>
      <c r="F28" s="148">
        <f>E28*1.058</f>
        <v>0</v>
      </c>
      <c r="G28" s="148">
        <f>F28*1.055</f>
        <v>0</v>
      </c>
      <c r="H28" s="182"/>
      <c r="I28" s="182"/>
      <c r="J28" s="182"/>
      <c r="K28" s="182"/>
      <c r="L28" s="148">
        <f>E28*108%</f>
        <v>0</v>
      </c>
      <c r="M28" s="148">
        <f>L28*106.9%</f>
        <v>0</v>
      </c>
      <c r="N28" s="243">
        <v>21.6</v>
      </c>
      <c r="O28" s="286">
        <v>0</v>
      </c>
    </row>
    <row r="29" spans="1:15" s="5" customFormat="1" ht="48.6" customHeight="1">
      <c r="A29" s="178" t="s">
        <v>506</v>
      </c>
      <c r="B29" s="163" t="s">
        <v>425</v>
      </c>
      <c r="C29" s="180" t="s">
        <v>505</v>
      </c>
      <c r="D29" s="181" t="e">
        <f>#REF!</f>
        <v>#REF!</v>
      </c>
      <c r="E29" s="148">
        <v>0</v>
      </c>
      <c r="F29" s="148">
        <f>E29*1.058</f>
        <v>0</v>
      </c>
      <c r="G29" s="148">
        <f>F29*1.055</f>
        <v>0</v>
      </c>
      <c r="H29" s="182"/>
      <c r="I29" s="182"/>
      <c r="J29" s="182"/>
      <c r="K29" s="182"/>
      <c r="L29" s="148">
        <f>E29*108%</f>
        <v>0</v>
      </c>
      <c r="M29" s="148">
        <f>L29*106.9%</f>
        <v>0</v>
      </c>
      <c r="N29" s="243">
        <v>260</v>
      </c>
      <c r="O29" s="286">
        <v>0</v>
      </c>
    </row>
    <row r="30" spans="1:15" s="5" customFormat="1" ht="30" customHeight="1">
      <c r="A30" s="123" t="s">
        <v>245</v>
      </c>
      <c r="B30" s="204" t="s">
        <v>16</v>
      </c>
      <c r="C30" s="205" t="s">
        <v>15</v>
      </c>
      <c r="D30" s="147">
        <v>15</v>
      </c>
      <c r="E30" s="218">
        <f t="shared" ref="E30:N31" si="13">E31</f>
        <v>3010</v>
      </c>
      <c r="F30" s="218" t="e">
        <f t="shared" si="13"/>
        <v>#REF!</v>
      </c>
      <c r="G30" s="218" t="e">
        <f t="shared" si="13"/>
        <v>#REF!</v>
      </c>
      <c r="H30" s="218" t="e">
        <f t="shared" si="13"/>
        <v>#REF!</v>
      </c>
      <c r="I30" s="218" t="e">
        <f t="shared" si="13"/>
        <v>#REF!</v>
      </c>
      <c r="J30" s="218" t="e">
        <f t="shared" si="13"/>
        <v>#REF!</v>
      </c>
      <c r="K30" s="218" t="e">
        <f t="shared" si="13"/>
        <v>#REF!</v>
      </c>
      <c r="L30" s="218" t="e">
        <f t="shared" si="13"/>
        <v>#REF!</v>
      </c>
      <c r="M30" s="218" t="e">
        <f t="shared" si="13"/>
        <v>#REF!</v>
      </c>
      <c r="N30" s="282">
        <f>N31+N35</f>
        <v>1486.3</v>
      </c>
      <c r="O30" s="286">
        <f t="shared" si="0"/>
        <v>0.49378737541528239</v>
      </c>
    </row>
    <row r="31" spans="1:15" s="5" customFormat="1" ht="55.5" customHeight="1">
      <c r="A31" s="178" t="s">
        <v>60</v>
      </c>
      <c r="B31" s="163" t="s">
        <v>488</v>
      </c>
      <c r="C31" s="186" t="s">
        <v>489</v>
      </c>
      <c r="D31" s="181" t="e">
        <f>D32+#REF!</f>
        <v>#REF!</v>
      </c>
      <c r="E31" s="148">
        <v>3010</v>
      </c>
      <c r="F31" s="148" t="e">
        <f t="shared" si="13"/>
        <v>#REF!</v>
      </c>
      <c r="G31" s="148" t="e">
        <f t="shared" si="13"/>
        <v>#REF!</v>
      </c>
      <c r="H31" s="148" t="e">
        <f t="shared" si="13"/>
        <v>#REF!</v>
      </c>
      <c r="I31" s="148" t="e">
        <f t="shared" si="13"/>
        <v>#REF!</v>
      </c>
      <c r="J31" s="148" t="e">
        <f t="shared" si="13"/>
        <v>#REF!</v>
      </c>
      <c r="K31" s="148" t="e">
        <f t="shared" si="13"/>
        <v>#REF!</v>
      </c>
      <c r="L31" s="148" t="e">
        <f t="shared" si="13"/>
        <v>#REF!</v>
      </c>
      <c r="M31" s="148" t="e">
        <f t="shared" si="13"/>
        <v>#REF!</v>
      </c>
      <c r="N31" s="283">
        <f t="shared" si="13"/>
        <v>1134.3</v>
      </c>
      <c r="O31" s="286">
        <f t="shared" si="0"/>
        <v>0.37684385382059798</v>
      </c>
    </row>
    <row r="32" spans="1:15" s="4" customFormat="1" ht="57.75" customHeight="1">
      <c r="A32" s="178" t="s">
        <v>61</v>
      </c>
      <c r="B32" s="163" t="s">
        <v>488</v>
      </c>
      <c r="C32" s="186" t="s">
        <v>496</v>
      </c>
      <c r="D32" s="181" t="e">
        <f>D33+D44+D41</f>
        <v>#REF!</v>
      </c>
      <c r="E32" s="148">
        <v>3010</v>
      </c>
      <c r="F32" s="148" t="e">
        <f>F33+#REF!</f>
        <v>#REF!</v>
      </c>
      <c r="G32" s="148" t="e">
        <f>G33+#REF!</f>
        <v>#REF!</v>
      </c>
      <c r="H32" s="148" t="e">
        <f>H33+#REF!</f>
        <v>#REF!</v>
      </c>
      <c r="I32" s="148" t="e">
        <f>I33+#REF!</f>
        <v>#REF!</v>
      </c>
      <c r="J32" s="148" t="e">
        <f>J33+#REF!</f>
        <v>#REF!</v>
      </c>
      <c r="K32" s="148" t="e">
        <f>K33+#REF!</f>
        <v>#REF!</v>
      </c>
      <c r="L32" s="148" t="e">
        <f>L33+#REF!</f>
        <v>#REF!</v>
      </c>
      <c r="M32" s="148" t="e">
        <f>M33+#REF!</f>
        <v>#REF!</v>
      </c>
      <c r="N32" s="283">
        <v>1134.3</v>
      </c>
      <c r="O32" s="286">
        <f t="shared" si="0"/>
        <v>0.37684385382059798</v>
      </c>
    </row>
    <row r="33" spans="1:15" s="6" customFormat="1" ht="65.400000000000006" customHeight="1">
      <c r="A33" s="178" t="s">
        <v>62</v>
      </c>
      <c r="B33" s="145" t="s">
        <v>490</v>
      </c>
      <c r="C33" s="186" t="s">
        <v>497</v>
      </c>
      <c r="D33" s="181">
        <f>D40</f>
        <v>5841.7</v>
      </c>
      <c r="E33" s="148">
        <v>3000</v>
      </c>
      <c r="F33" s="152">
        <f t="shared" si="1"/>
        <v>3174</v>
      </c>
      <c r="G33" s="153">
        <f t="shared" si="2"/>
        <v>3348.5699999999997</v>
      </c>
      <c r="H33" s="151">
        <f>E33/4</f>
        <v>750</v>
      </c>
      <c r="I33" s="151">
        <f>E33/4</f>
        <v>750</v>
      </c>
      <c r="J33" s="151">
        <f>E33/4</f>
        <v>750</v>
      </c>
      <c r="K33" s="151">
        <f>E33/4</f>
        <v>750</v>
      </c>
      <c r="L33" s="148">
        <f>E33*108%</f>
        <v>3240</v>
      </c>
      <c r="M33" s="148">
        <f>L33*106.9%</f>
        <v>3463.56</v>
      </c>
      <c r="N33" s="283">
        <v>960</v>
      </c>
      <c r="O33" s="286">
        <f t="shared" si="0"/>
        <v>0.32</v>
      </c>
    </row>
    <row r="34" spans="1:15" s="6" customFormat="1" ht="66" customHeight="1">
      <c r="A34" s="178" t="s">
        <v>279</v>
      </c>
      <c r="B34" s="145" t="s">
        <v>490</v>
      </c>
      <c r="C34" s="186" t="s">
        <v>497</v>
      </c>
      <c r="D34" s="181"/>
      <c r="E34" s="148">
        <v>10</v>
      </c>
      <c r="F34" s="152"/>
      <c r="G34" s="153"/>
      <c r="H34" s="151"/>
      <c r="I34" s="151"/>
      <c r="J34" s="151"/>
      <c r="K34" s="151"/>
      <c r="L34" s="148"/>
      <c r="M34" s="148"/>
      <c r="N34" s="243">
        <v>0</v>
      </c>
      <c r="O34" s="286">
        <f t="shared" si="0"/>
        <v>0</v>
      </c>
    </row>
    <row r="35" spans="1:15" s="6" customFormat="1" ht="66" customHeight="1">
      <c r="A35" s="290" t="s">
        <v>63</v>
      </c>
      <c r="B35" s="204" t="s">
        <v>512</v>
      </c>
      <c r="C35" s="364" t="s">
        <v>509</v>
      </c>
      <c r="D35" s="181"/>
      <c r="E35" s="218">
        <v>0</v>
      </c>
      <c r="F35" s="362"/>
      <c r="G35" s="362"/>
      <c r="H35" s="155"/>
      <c r="I35" s="155"/>
      <c r="J35" s="155"/>
      <c r="K35" s="155"/>
      <c r="L35" s="218"/>
      <c r="M35" s="218"/>
      <c r="N35" s="242">
        <v>352</v>
      </c>
      <c r="O35" s="286">
        <v>0</v>
      </c>
    </row>
    <row r="36" spans="1:15" s="6" customFormat="1" ht="50.4" customHeight="1">
      <c r="A36" s="178" t="s">
        <v>66</v>
      </c>
      <c r="B36" s="145" t="s">
        <v>508</v>
      </c>
      <c r="C36" s="186" t="s">
        <v>509</v>
      </c>
      <c r="D36" s="181"/>
      <c r="E36" s="148">
        <v>0</v>
      </c>
      <c r="F36" s="152"/>
      <c r="G36" s="152"/>
      <c r="H36" s="151"/>
      <c r="I36" s="151"/>
      <c r="J36" s="151"/>
      <c r="K36" s="151"/>
      <c r="L36" s="148"/>
      <c r="M36" s="148"/>
      <c r="N36" s="243">
        <v>350</v>
      </c>
      <c r="O36" s="286">
        <v>0</v>
      </c>
    </row>
    <row r="37" spans="1:15" s="6" customFormat="1" ht="59.4" customHeight="1">
      <c r="A37" s="178" t="s">
        <v>511</v>
      </c>
      <c r="B37" s="145" t="s">
        <v>510</v>
      </c>
      <c r="C37" s="186" t="s">
        <v>509</v>
      </c>
      <c r="D37" s="181"/>
      <c r="E37" s="148">
        <v>0</v>
      </c>
      <c r="F37" s="152"/>
      <c r="G37" s="152"/>
      <c r="H37" s="151"/>
      <c r="I37" s="151"/>
      <c r="J37" s="151"/>
      <c r="K37" s="151"/>
      <c r="L37" s="148"/>
      <c r="M37" s="148"/>
      <c r="N37" s="243">
        <v>2</v>
      </c>
      <c r="O37" s="286">
        <v>0</v>
      </c>
    </row>
    <row r="38" spans="1:15" s="6" customFormat="1" ht="59.4" customHeight="1">
      <c r="A38" s="290" t="s">
        <v>124</v>
      </c>
      <c r="B38" s="204" t="s">
        <v>514</v>
      </c>
      <c r="C38" s="205" t="s">
        <v>515</v>
      </c>
      <c r="D38" s="181"/>
      <c r="E38" s="218">
        <v>0</v>
      </c>
      <c r="F38" s="362"/>
      <c r="G38" s="362"/>
      <c r="H38" s="155"/>
      <c r="I38" s="155"/>
      <c r="J38" s="155"/>
      <c r="K38" s="155"/>
      <c r="L38" s="218"/>
      <c r="M38" s="218"/>
      <c r="N38" s="242">
        <f>N39</f>
        <v>5</v>
      </c>
      <c r="O38" s="286">
        <v>0</v>
      </c>
    </row>
    <row r="39" spans="1:15" s="6" customFormat="1" ht="59.4" customHeight="1">
      <c r="A39" s="178" t="s">
        <v>43</v>
      </c>
      <c r="B39" s="145" t="s">
        <v>448</v>
      </c>
      <c r="C39" s="364" t="s">
        <v>516</v>
      </c>
      <c r="D39" s="181"/>
      <c r="E39" s="148">
        <v>0</v>
      </c>
      <c r="F39" s="152"/>
      <c r="G39" s="152"/>
      <c r="H39" s="151"/>
      <c r="I39" s="151"/>
      <c r="J39" s="151"/>
      <c r="K39" s="151"/>
      <c r="L39" s="148"/>
      <c r="M39" s="148"/>
      <c r="N39" s="243">
        <v>5</v>
      </c>
      <c r="O39" s="286">
        <v>0</v>
      </c>
    </row>
    <row r="40" spans="1:15" s="6" customFormat="1" ht="51.6" customHeight="1">
      <c r="A40" s="123" t="s">
        <v>41</v>
      </c>
      <c r="B40" s="204" t="s">
        <v>17</v>
      </c>
      <c r="C40" s="262" t="s">
        <v>144</v>
      </c>
      <c r="D40" s="147">
        <v>5841.7</v>
      </c>
      <c r="E40" s="218">
        <f t="shared" ref="E40:N40" si="14">E41</f>
        <v>73277.599999999991</v>
      </c>
      <c r="F40" s="218">
        <f t="shared" si="14"/>
        <v>59953.1</v>
      </c>
      <c r="G40" s="218">
        <f t="shared" si="14"/>
        <v>60016.6</v>
      </c>
      <c r="H40" s="218">
        <f t="shared" si="14"/>
        <v>17354.650000000001</v>
      </c>
      <c r="I40" s="218">
        <f t="shared" si="14"/>
        <v>17354.650000000001</v>
      </c>
      <c r="J40" s="218">
        <f t="shared" si="14"/>
        <v>17354.650000000001</v>
      </c>
      <c r="K40" s="218">
        <f t="shared" si="14"/>
        <v>17354.650000000001</v>
      </c>
      <c r="L40" s="218">
        <f t="shared" si="14"/>
        <v>72323.392000000007</v>
      </c>
      <c r="M40" s="218">
        <f t="shared" si="14"/>
        <v>77258.657848000003</v>
      </c>
      <c r="N40" s="282">
        <f t="shared" si="14"/>
        <v>73224.899999999994</v>
      </c>
      <c r="O40" s="286">
        <f t="shared" si="0"/>
        <v>0.9992808170573273</v>
      </c>
    </row>
    <row r="41" spans="1:15" s="5" customFormat="1" ht="52.2" customHeight="1">
      <c r="A41" s="123">
        <v>1</v>
      </c>
      <c r="B41" s="204" t="s">
        <v>135</v>
      </c>
      <c r="C41" s="205" t="s">
        <v>273</v>
      </c>
      <c r="D41" s="181">
        <v>0</v>
      </c>
      <c r="E41" s="218">
        <f t="shared" ref="E41:N41" si="15">E42+E47</f>
        <v>73277.599999999991</v>
      </c>
      <c r="F41" s="218">
        <f t="shared" si="15"/>
        <v>59953.1</v>
      </c>
      <c r="G41" s="218">
        <f t="shared" si="15"/>
        <v>60016.6</v>
      </c>
      <c r="H41" s="218">
        <f t="shared" si="15"/>
        <v>17354.650000000001</v>
      </c>
      <c r="I41" s="218">
        <f t="shared" si="15"/>
        <v>17354.650000000001</v>
      </c>
      <c r="J41" s="218">
        <f t="shared" si="15"/>
        <v>17354.650000000001</v>
      </c>
      <c r="K41" s="218">
        <f t="shared" si="15"/>
        <v>17354.650000000001</v>
      </c>
      <c r="L41" s="218">
        <f t="shared" si="15"/>
        <v>72323.392000000007</v>
      </c>
      <c r="M41" s="218">
        <f t="shared" si="15"/>
        <v>77258.657848000003</v>
      </c>
      <c r="N41" s="282">
        <f t="shared" si="15"/>
        <v>73224.899999999994</v>
      </c>
      <c r="O41" s="286">
        <f t="shared" si="0"/>
        <v>0.9992808170573273</v>
      </c>
    </row>
    <row r="42" spans="1:15" s="5" customFormat="1" ht="59.4" customHeight="1">
      <c r="A42" s="290" t="s">
        <v>54</v>
      </c>
      <c r="B42" s="204" t="s">
        <v>498</v>
      </c>
      <c r="C42" s="205" t="s">
        <v>446</v>
      </c>
      <c r="D42" s="181">
        <f>D43</f>
        <v>0</v>
      </c>
      <c r="E42" s="218">
        <v>71321.7</v>
      </c>
      <c r="F42" s="218">
        <f t="shared" ref="F42:M42" si="16">F44</f>
        <v>58000</v>
      </c>
      <c r="G42" s="218">
        <f t="shared" si="16"/>
        <v>58000</v>
      </c>
      <c r="H42" s="218">
        <f t="shared" si="16"/>
        <v>16286.5</v>
      </c>
      <c r="I42" s="218">
        <f t="shared" si="16"/>
        <v>16286.5</v>
      </c>
      <c r="J42" s="218">
        <f t="shared" si="16"/>
        <v>16286.5</v>
      </c>
      <c r="K42" s="218">
        <f t="shared" si="16"/>
        <v>16286.5</v>
      </c>
      <c r="L42" s="218">
        <f t="shared" si="16"/>
        <v>70357.680000000008</v>
      </c>
      <c r="M42" s="218">
        <f t="shared" si="16"/>
        <v>75212.359920000003</v>
      </c>
      <c r="N42" s="282">
        <f>N43+N45</f>
        <v>71321.7</v>
      </c>
      <c r="O42" s="286">
        <f t="shared" si="0"/>
        <v>1</v>
      </c>
    </row>
    <row r="43" spans="1:15" s="4" customFormat="1" ht="48.6" customHeight="1">
      <c r="A43" s="290" t="s">
        <v>39</v>
      </c>
      <c r="B43" s="204" t="s">
        <v>491</v>
      </c>
      <c r="C43" s="205" t="s">
        <v>137</v>
      </c>
      <c r="D43" s="181">
        <v>0</v>
      </c>
      <c r="E43" s="218">
        <v>65146</v>
      </c>
      <c r="F43" s="218">
        <f t="shared" ref="F43:N43" si="17">F44</f>
        <v>58000</v>
      </c>
      <c r="G43" s="218">
        <f t="shared" si="17"/>
        <v>58000</v>
      </c>
      <c r="H43" s="218">
        <f t="shared" si="17"/>
        <v>16286.5</v>
      </c>
      <c r="I43" s="218">
        <f t="shared" si="17"/>
        <v>16286.5</v>
      </c>
      <c r="J43" s="218">
        <f t="shared" si="17"/>
        <v>16286.5</v>
      </c>
      <c r="K43" s="218">
        <f t="shared" si="17"/>
        <v>16286.5</v>
      </c>
      <c r="L43" s="218">
        <f t="shared" si="17"/>
        <v>70357.680000000008</v>
      </c>
      <c r="M43" s="218">
        <f t="shared" si="17"/>
        <v>75212.359920000003</v>
      </c>
      <c r="N43" s="282">
        <f t="shared" si="17"/>
        <v>65146</v>
      </c>
      <c r="O43" s="286">
        <f t="shared" si="0"/>
        <v>1</v>
      </c>
    </row>
    <row r="44" spans="1:15" s="5" customFormat="1" ht="60.75" customHeight="1">
      <c r="A44" s="178" t="s">
        <v>154</v>
      </c>
      <c r="B44" s="145" t="s">
        <v>492</v>
      </c>
      <c r="C44" s="146" t="s">
        <v>362</v>
      </c>
      <c r="D44" s="147" t="e">
        <f>#REF!+D48</f>
        <v>#REF!</v>
      </c>
      <c r="E44" s="148">
        <v>65146</v>
      </c>
      <c r="F44" s="201">
        <v>58000</v>
      </c>
      <c r="G44" s="202">
        <v>58000</v>
      </c>
      <c r="H44" s="151">
        <f>E44/4</f>
        <v>16286.5</v>
      </c>
      <c r="I44" s="151">
        <f>E44/4</f>
        <v>16286.5</v>
      </c>
      <c r="J44" s="151">
        <f>E44/4</f>
        <v>16286.5</v>
      </c>
      <c r="K44" s="151">
        <f>E44/4</f>
        <v>16286.5</v>
      </c>
      <c r="L44" s="148">
        <f>E44*108%</f>
        <v>70357.680000000008</v>
      </c>
      <c r="M44" s="148">
        <f>L44*106.9%</f>
        <v>75212.359920000003</v>
      </c>
      <c r="N44" s="243">
        <v>65146</v>
      </c>
      <c r="O44" s="346">
        <f t="shared" si="0"/>
        <v>1</v>
      </c>
    </row>
    <row r="45" spans="1:15" s="5" customFormat="1" ht="60.75" customHeight="1">
      <c r="A45" s="290" t="s">
        <v>142</v>
      </c>
      <c r="B45" s="204" t="s">
        <v>452</v>
      </c>
      <c r="C45" s="205" t="s">
        <v>513</v>
      </c>
      <c r="D45" s="181"/>
      <c r="E45" s="218">
        <v>6175.7</v>
      </c>
      <c r="F45" s="365"/>
      <c r="G45" s="366"/>
      <c r="H45" s="155"/>
      <c r="I45" s="155"/>
      <c r="J45" s="155"/>
      <c r="K45" s="155"/>
      <c r="L45" s="218"/>
      <c r="M45" s="218"/>
      <c r="N45" s="242">
        <v>6175.7</v>
      </c>
      <c r="O45" s="286">
        <f>N45/E45</f>
        <v>1</v>
      </c>
    </row>
    <row r="46" spans="1:15" s="5" customFormat="1" ht="60.75" customHeight="1">
      <c r="A46" s="178" t="s">
        <v>507</v>
      </c>
      <c r="B46" s="145" t="s">
        <v>453</v>
      </c>
      <c r="C46" s="146" t="s">
        <v>454</v>
      </c>
      <c r="D46" s="147"/>
      <c r="E46" s="148">
        <v>6175.7</v>
      </c>
      <c r="F46" s="345"/>
      <c r="G46" s="202"/>
      <c r="H46" s="151"/>
      <c r="I46" s="151"/>
      <c r="J46" s="151"/>
      <c r="K46" s="151"/>
      <c r="L46" s="148"/>
      <c r="M46" s="148"/>
      <c r="N46" s="243">
        <v>6175.7</v>
      </c>
      <c r="O46" s="346">
        <f>N46/E46</f>
        <v>1</v>
      </c>
    </row>
    <row r="47" spans="1:15" ht="43.5" customHeight="1">
      <c r="A47" s="123">
        <v>2</v>
      </c>
      <c r="B47" s="204" t="s">
        <v>449</v>
      </c>
      <c r="C47" s="205" t="s">
        <v>499</v>
      </c>
      <c r="D47" s="147">
        <v>12.7</v>
      </c>
      <c r="E47" s="218">
        <f>E48+E52</f>
        <v>1955.9</v>
      </c>
      <c r="F47" s="218">
        <f t="shared" ref="F47:N47" si="18">F48+F52</f>
        <v>1953.1</v>
      </c>
      <c r="G47" s="218">
        <f t="shared" si="18"/>
        <v>2016.6</v>
      </c>
      <c r="H47" s="218">
        <f t="shared" si="18"/>
        <v>1068.1500000000001</v>
      </c>
      <c r="I47" s="218">
        <f t="shared" si="18"/>
        <v>1068.1500000000001</v>
      </c>
      <c r="J47" s="218">
        <f t="shared" si="18"/>
        <v>1068.1500000000001</v>
      </c>
      <c r="K47" s="218">
        <f t="shared" si="18"/>
        <v>1068.1500000000001</v>
      </c>
      <c r="L47" s="218">
        <f t="shared" si="18"/>
        <v>1965.7120000000002</v>
      </c>
      <c r="M47" s="218">
        <f t="shared" si="18"/>
        <v>2046.2979280000002</v>
      </c>
      <c r="N47" s="282">
        <f t="shared" si="18"/>
        <v>1903.2</v>
      </c>
      <c r="O47" s="286">
        <f t="shared" si="0"/>
        <v>0.97305588220256656</v>
      </c>
    </row>
    <row r="48" spans="1:15" ht="65.099999999999994" customHeight="1">
      <c r="A48" s="178" t="s">
        <v>56</v>
      </c>
      <c r="B48" s="163" t="s">
        <v>493</v>
      </c>
      <c r="C48" s="146" t="s">
        <v>72</v>
      </c>
      <c r="D48" s="181">
        <f>D50</f>
        <v>228.1</v>
      </c>
      <c r="E48" s="148">
        <v>874.5</v>
      </c>
      <c r="F48" s="148">
        <f t="shared" ref="F48:N48" si="19">F50+F51</f>
        <v>797.8</v>
      </c>
      <c r="G48" s="148">
        <f t="shared" si="19"/>
        <v>797.8</v>
      </c>
      <c r="H48" s="148">
        <f t="shared" si="19"/>
        <v>797.8</v>
      </c>
      <c r="I48" s="148">
        <f t="shared" si="19"/>
        <v>797.8</v>
      </c>
      <c r="J48" s="148">
        <f t="shared" si="19"/>
        <v>797.8</v>
      </c>
      <c r="K48" s="148">
        <f t="shared" si="19"/>
        <v>797.8</v>
      </c>
      <c r="L48" s="148">
        <f t="shared" si="19"/>
        <v>797.8</v>
      </c>
      <c r="M48" s="148">
        <f t="shared" si="19"/>
        <v>797.8</v>
      </c>
      <c r="N48" s="283">
        <f t="shared" si="19"/>
        <v>873.3</v>
      </c>
      <c r="O48" s="286">
        <f t="shared" si="0"/>
        <v>0.9986277873070325</v>
      </c>
    </row>
    <row r="49" spans="1:15" ht="68.25" customHeight="1">
      <c r="A49" s="178" t="s">
        <v>57</v>
      </c>
      <c r="B49" s="163" t="s">
        <v>500</v>
      </c>
      <c r="C49" s="146" t="s">
        <v>363</v>
      </c>
      <c r="D49" s="147">
        <v>228.1</v>
      </c>
      <c r="E49" s="148">
        <v>874.5</v>
      </c>
      <c r="F49" s="148">
        <f t="shared" ref="F49:N49" si="20">F50+F51</f>
        <v>797.8</v>
      </c>
      <c r="G49" s="148">
        <f t="shared" si="20"/>
        <v>797.8</v>
      </c>
      <c r="H49" s="148">
        <f t="shared" si="20"/>
        <v>797.8</v>
      </c>
      <c r="I49" s="148">
        <f t="shared" si="20"/>
        <v>797.8</v>
      </c>
      <c r="J49" s="148">
        <f t="shared" si="20"/>
        <v>797.8</v>
      </c>
      <c r="K49" s="148">
        <f t="shared" si="20"/>
        <v>797.8</v>
      </c>
      <c r="L49" s="148">
        <f t="shared" si="20"/>
        <v>797.8</v>
      </c>
      <c r="M49" s="148">
        <f t="shared" si="20"/>
        <v>797.8</v>
      </c>
      <c r="N49" s="283">
        <f t="shared" si="20"/>
        <v>873.3</v>
      </c>
      <c r="O49" s="286">
        <f t="shared" si="0"/>
        <v>0.9986277873070325</v>
      </c>
    </row>
    <row r="50" spans="1:15" ht="93" customHeight="1">
      <c r="A50" s="178" t="s">
        <v>148</v>
      </c>
      <c r="B50" s="145" t="s">
        <v>501</v>
      </c>
      <c r="C50" s="213" t="s">
        <v>247</v>
      </c>
      <c r="D50" s="147">
        <v>228.1</v>
      </c>
      <c r="E50" s="148">
        <v>867</v>
      </c>
      <c r="F50" s="148">
        <v>791.8</v>
      </c>
      <c r="G50" s="148">
        <v>791.8</v>
      </c>
      <c r="H50" s="148">
        <v>791.8</v>
      </c>
      <c r="I50" s="148">
        <v>791.8</v>
      </c>
      <c r="J50" s="148">
        <v>791.8</v>
      </c>
      <c r="K50" s="148">
        <v>791.8</v>
      </c>
      <c r="L50" s="148">
        <v>791.8</v>
      </c>
      <c r="M50" s="148">
        <v>791.8</v>
      </c>
      <c r="N50" s="283">
        <v>865.8</v>
      </c>
      <c r="O50" s="286">
        <f t="shared" si="0"/>
        <v>0.99861591695501728</v>
      </c>
    </row>
    <row r="51" spans="1:15" ht="117.75" customHeight="1">
      <c r="A51" s="178" t="s">
        <v>355</v>
      </c>
      <c r="B51" s="145" t="s">
        <v>502</v>
      </c>
      <c r="C51" s="213" t="s">
        <v>249</v>
      </c>
      <c r="D51" s="147">
        <v>228.1</v>
      </c>
      <c r="E51" s="148">
        <v>7.5</v>
      </c>
      <c r="F51" s="148">
        <v>6</v>
      </c>
      <c r="G51" s="148">
        <v>6</v>
      </c>
      <c r="H51" s="148">
        <v>6</v>
      </c>
      <c r="I51" s="148">
        <v>6</v>
      </c>
      <c r="J51" s="148">
        <v>6</v>
      </c>
      <c r="K51" s="148">
        <v>6</v>
      </c>
      <c r="L51" s="148">
        <v>6</v>
      </c>
      <c r="M51" s="148">
        <v>6</v>
      </c>
      <c r="N51" s="283">
        <v>7.5</v>
      </c>
      <c r="O51" s="286">
        <f t="shared" si="0"/>
        <v>1</v>
      </c>
    </row>
    <row r="52" spans="1:15" ht="80.25" customHeight="1">
      <c r="A52" s="178" t="s">
        <v>356</v>
      </c>
      <c r="B52" s="145" t="s">
        <v>503</v>
      </c>
      <c r="C52" s="213" t="s">
        <v>250</v>
      </c>
      <c r="D52" s="148" t="e">
        <f>D8+D31</f>
        <v>#REF!</v>
      </c>
      <c r="E52" s="148">
        <v>1081.4000000000001</v>
      </c>
      <c r="F52" s="148">
        <f t="shared" ref="F52:M52" si="21">F54</f>
        <v>1155.3</v>
      </c>
      <c r="G52" s="148">
        <f t="shared" si="21"/>
        <v>1218.8</v>
      </c>
      <c r="H52" s="148">
        <f t="shared" si="21"/>
        <v>270.35000000000002</v>
      </c>
      <c r="I52" s="148">
        <f t="shared" si="21"/>
        <v>270.35000000000002</v>
      </c>
      <c r="J52" s="148">
        <f t="shared" si="21"/>
        <v>270.35000000000002</v>
      </c>
      <c r="K52" s="148">
        <f t="shared" si="21"/>
        <v>270.35000000000002</v>
      </c>
      <c r="L52" s="148">
        <f t="shared" si="21"/>
        <v>1167.9120000000003</v>
      </c>
      <c r="M52" s="148">
        <f t="shared" si="21"/>
        <v>1248.4979280000002</v>
      </c>
      <c r="N52" s="283">
        <v>1029.9000000000001</v>
      </c>
      <c r="O52" s="286">
        <f t="shared" si="0"/>
        <v>0.95237654891806922</v>
      </c>
    </row>
    <row r="53" spans="1:15" ht="84" customHeight="1">
      <c r="A53" s="178" t="s">
        <v>357</v>
      </c>
      <c r="B53" s="145" t="s">
        <v>450</v>
      </c>
      <c r="C53" s="213" t="s">
        <v>364</v>
      </c>
      <c r="D53" s="218">
        <v>30381.3</v>
      </c>
      <c r="E53" s="148">
        <v>1081.4000000000001</v>
      </c>
      <c r="F53" s="148">
        <f t="shared" ref="F53:M53" si="22">F54</f>
        <v>1155.3</v>
      </c>
      <c r="G53" s="148">
        <f t="shared" si="22"/>
        <v>1218.8</v>
      </c>
      <c r="H53" s="148">
        <f t="shared" si="22"/>
        <v>270.35000000000002</v>
      </c>
      <c r="I53" s="148">
        <f t="shared" si="22"/>
        <v>270.35000000000002</v>
      </c>
      <c r="J53" s="148">
        <f t="shared" si="22"/>
        <v>270.35000000000002</v>
      </c>
      <c r="K53" s="148">
        <f t="shared" si="22"/>
        <v>270.35000000000002</v>
      </c>
      <c r="L53" s="148">
        <f t="shared" si="22"/>
        <v>1167.9120000000003</v>
      </c>
      <c r="M53" s="148">
        <f t="shared" si="22"/>
        <v>1248.4979280000002</v>
      </c>
      <c r="N53" s="283">
        <v>1029.9000000000001</v>
      </c>
      <c r="O53" s="286">
        <f t="shared" si="0"/>
        <v>0.95237654891806922</v>
      </c>
    </row>
    <row r="54" spans="1:15" ht="75" customHeight="1">
      <c r="A54" s="178" t="s">
        <v>358</v>
      </c>
      <c r="B54" s="145" t="s">
        <v>451</v>
      </c>
      <c r="C54" s="146" t="s">
        <v>251</v>
      </c>
      <c r="D54" s="181" t="e">
        <f>D52-D53</f>
        <v>#REF!</v>
      </c>
      <c r="E54" s="148">
        <v>1081.4000000000001</v>
      </c>
      <c r="F54" s="222">
        <v>1155.3</v>
      </c>
      <c r="G54" s="190">
        <v>1218.8</v>
      </c>
      <c r="H54" s="151">
        <f>E54/4</f>
        <v>270.35000000000002</v>
      </c>
      <c r="I54" s="151">
        <f>E54/4</f>
        <v>270.35000000000002</v>
      </c>
      <c r="J54" s="151">
        <f>E54/4</f>
        <v>270.35000000000002</v>
      </c>
      <c r="K54" s="151">
        <f>E54/4</f>
        <v>270.35000000000002</v>
      </c>
      <c r="L54" s="148">
        <f>E54*108%</f>
        <v>1167.9120000000003</v>
      </c>
      <c r="M54" s="148">
        <f>L54*106.9%</f>
        <v>1248.4979280000002</v>
      </c>
      <c r="N54" s="243">
        <v>1029.9000000000001</v>
      </c>
      <c r="O54" s="286">
        <f t="shared" si="0"/>
        <v>0.95237654891806922</v>
      </c>
    </row>
    <row r="55" spans="1:15" ht="21" customHeight="1">
      <c r="A55" s="123"/>
      <c r="B55" s="224"/>
      <c r="C55" s="225" t="s">
        <v>7</v>
      </c>
      <c r="D55" s="218" t="e">
        <f>D52-D31</f>
        <v>#REF!</v>
      </c>
      <c r="E55" s="218">
        <f t="shared" ref="E55:N55" si="23">E8+E40</f>
        <v>123706.9</v>
      </c>
      <c r="F55" s="218" t="e">
        <f t="shared" si="23"/>
        <v>#REF!</v>
      </c>
      <c r="G55" s="218" t="e">
        <f t="shared" si="23"/>
        <v>#REF!</v>
      </c>
      <c r="H55" s="218" t="e">
        <f t="shared" si="23"/>
        <v>#REF!</v>
      </c>
      <c r="I55" s="218" t="e">
        <f t="shared" si="23"/>
        <v>#REF!</v>
      </c>
      <c r="J55" s="218" t="e">
        <f t="shared" si="23"/>
        <v>#REF!</v>
      </c>
      <c r="K55" s="218" t="e">
        <f t="shared" si="23"/>
        <v>#REF!</v>
      </c>
      <c r="L55" s="218" t="e">
        <f t="shared" si="23"/>
        <v>#REF!</v>
      </c>
      <c r="M55" s="218" t="e">
        <f t="shared" si="23"/>
        <v>#REF!</v>
      </c>
      <c r="N55" s="282">
        <f t="shared" si="23"/>
        <v>133369.9</v>
      </c>
      <c r="O55" s="286">
        <f t="shared" si="0"/>
        <v>1.0781120535717894</v>
      </c>
    </row>
    <row r="56" spans="1:15" ht="19.5" customHeight="1"/>
    <row r="59" spans="1:15">
      <c r="E59" s="116"/>
      <c r="K59" s="116"/>
    </row>
  </sheetData>
  <mergeCells count="4">
    <mergeCell ref="C2:O2"/>
    <mergeCell ref="A6:K6"/>
    <mergeCell ref="A4:O4"/>
    <mergeCell ref="A5:O5"/>
  </mergeCells>
  <printOptions horizontalCentered="1"/>
  <pageMargins left="0.59055118110236227" right="0.39370078740157483" top="0.98425196850393704" bottom="0.19685039370078741" header="0" footer="0"/>
  <pageSetup paperSize="9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>
      <selection activeCell="D16" sqref="D16"/>
    </sheetView>
  </sheetViews>
  <sheetFormatPr defaultRowHeight="13.8"/>
  <cols>
    <col min="1" max="1" width="48.77734375" style="8" customWidth="1"/>
    <col min="2" max="2" width="12.88671875" style="9" customWidth="1"/>
    <col min="3" max="3" width="15.21875" style="113" customWidth="1"/>
    <col min="4" max="4" width="11.88671875" style="113" customWidth="1"/>
    <col min="5" max="5" width="13.109375" style="113" customWidth="1"/>
    <col min="6" max="16384" width="8.88671875" style="113"/>
  </cols>
  <sheetData>
    <row r="1" spans="1:16" ht="15.6">
      <c r="A1" s="239"/>
      <c r="B1" s="512"/>
      <c r="C1" s="513" t="s">
        <v>562</v>
      </c>
    </row>
    <row r="2" spans="1:16" ht="15.6">
      <c r="A2" s="114"/>
      <c r="B2" s="114"/>
      <c r="C2" s="514" t="s">
        <v>563</v>
      </c>
      <c r="D2" s="515"/>
      <c r="E2" s="515"/>
      <c r="F2" s="515"/>
      <c r="G2" s="515"/>
      <c r="H2" s="515"/>
      <c r="I2" s="515"/>
      <c r="K2" s="515"/>
      <c r="L2" s="515"/>
      <c r="M2" s="515"/>
      <c r="N2" s="515"/>
      <c r="O2" s="515"/>
      <c r="P2" s="515"/>
    </row>
    <row r="3" spans="1:16" ht="13.2">
      <c r="A3" s="114"/>
      <c r="B3" s="114"/>
      <c r="C3" s="516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1:16" ht="13.2">
      <c r="A4" s="114"/>
      <c r="B4" s="549"/>
      <c r="C4" s="549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1:16" ht="12.6">
      <c r="A5" s="535" t="s">
        <v>564</v>
      </c>
      <c r="B5" s="535"/>
      <c r="C5" s="535"/>
    </row>
    <row r="6" spans="1:16" ht="12.6">
      <c r="A6" s="535"/>
      <c r="B6" s="535"/>
      <c r="C6" s="535"/>
    </row>
    <row r="7" spans="1:16" ht="13.2">
      <c r="A7" s="230"/>
      <c r="B7" s="229"/>
      <c r="C7" s="114"/>
    </row>
    <row r="8" spans="1:16" ht="43.8" customHeight="1">
      <c r="A8" s="517" t="s">
        <v>22</v>
      </c>
      <c r="B8" s="518" t="s">
        <v>23</v>
      </c>
      <c r="C8" s="526" t="s">
        <v>566</v>
      </c>
      <c r="D8" s="526" t="s">
        <v>567</v>
      </c>
      <c r="E8" s="275" t="s">
        <v>568</v>
      </c>
    </row>
    <row r="9" spans="1:16" ht="27.6" customHeight="1">
      <c r="A9" s="255" t="s">
        <v>65</v>
      </c>
      <c r="B9" s="253" t="s">
        <v>11</v>
      </c>
      <c r="C9" s="485">
        <f>SUM(C10:C15)</f>
        <v>14874.3</v>
      </c>
      <c r="D9" s="371">
        <v>14223.3</v>
      </c>
      <c r="E9" s="303">
        <f>D9/C9</f>
        <v>0.95623323450515318</v>
      </c>
    </row>
    <row r="10" spans="1:16" ht="28.8" customHeight="1">
      <c r="A10" s="234" t="s">
        <v>268</v>
      </c>
      <c r="B10" s="235" t="s">
        <v>37</v>
      </c>
      <c r="C10" s="486">
        <v>1224</v>
      </c>
      <c r="D10" s="371">
        <v>1212</v>
      </c>
      <c r="E10" s="303">
        <f t="shared" ref="E10:E37" si="0">D10/C10</f>
        <v>0.99019607843137258</v>
      </c>
    </row>
    <row r="11" spans="1:16" ht="35.4" customHeight="1">
      <c r="A11" s="234" t="s">
        <v>183</v>
      </c>
      <c r="B11" s="235" t="s">
        <v>25</v>
      </c>
      <c r="C11" s="486">
        <v>2478</v>
      </c>
      <c r="D11" s="371">
        <v>2450.1</v>
      </c>
      <c r="E11" s="303">
        <f t="shared" si="0"/>
        <v>0.98874092009685222</v>
      </c>
      <c r="K11" s="519"/>
    </row>
    <row r="12" spans="1:16" ht="43.2" customHeight="1">
      <c r="A12" s="234" t="s">
        <v>221</v>
      </c>
      <c r="B12" s="235" t="s">
        <v>40</v>
      </c>
      <c r="C12" s="486">
        <f>'[2]Функц.2020 (прил 3) '!L26</f>
        <v>9104.9999999999982</v>
      </c>
      <c r="D12" s="371">
        <v>8938.9</v>
      </c>
      <c r="E12" s="303">
        <f t="shared" si="0"/>
        <v>0.98175727622185627</v>
      </c>
    </row>
    <row r="13" spans="1:16" ht="18" customHeight="1">
      <c r="A13" s="433" t="s">
        <v>539</v>
      </c>
      <c r="B13" s="235" t="s">
        <v>456</v>
      </c>
      <c r="C13" s="486">
        <v>332.6</v>
      </c>
      <c r="D13" s="371">
        <v>0</v>
      </c>
      <c r="E13" s="303">
        <f t="shared" si="0"/>
        <v>0</v>
      </c>
    </row>
    <row r="14" spans="1:16" ht="16.8" customHeight="1">
      <c r="A14" s="433" t="s">
        <v>265</v>
      </c>
      <c r="B14" s="235" t="s">
        <v>158</v>
      </c>
      <c r="C14" s="486">
        <f>'[2]Функц.2020 (прил 3) '!L54</f>
        <v>20</v>
      </c>
      <c r="D14" s="371">
        <v>0</v>
      </c>
      <c r="E14" s="303">
        <f t="shared" si="0"/>
        <v>0</v>
      </c>
    </row>
    <row r="15" spans="1:16" ht="24.6" customHeight="1">
      <c r="A15" s="433" t="s">
        <v>26</v>
      </c>
      <c r="B15" s="235" t="s">
        <v>159</v>
      </c>
      <c r="C15" s="486">
        <v>1714.7</v>
      </c>
      <c r="D15" s="371">
        <v>1622.3</v>
      </c>
      <c r="E15" s="303">
        <f t="shared" si="0"/>
        <v>0.94611302268618414</v>
      </c>
    </row>
    <row r="16" spans="1:16" ht="31.2" customHeight="1">
      <c r="A16" s="255" t="s">
        <v>33</v>
      </c>
      <c r="B16" s="253" t="s">
        <v>27</v>
      </c>
      <c r="C16" s="485">
        <f>C17</f>
        <v>6.5</v>
      </c>
      <c r="D16" s="371">
        <v>0</v>
      </c>
      <c r="E16" s="303">
        <f t="shared" si="0"/>
        <v>0</v>
      </c>
    </row>
    <row r="17" spans="1:5" ht="31.2" customHeight="1">
      <c r="A17" s="433" t="s">
        <v>157</v>
      </c>
      <c r="B17" s="235" t="s">
        <v>18</v>
      </c>
      <c r="C17" s="486">
        <f>'[3]Вед. 2020 (прил 4)'!N94-40</f>
        <v>6.5</v>
      </c>
      <c r="D17" s="371">
        <v>0</v>
      </c>
      <c r="E17" s="303">
        <f t="shared" si="0"/>
        <v>0</v>
      </c>
    </row>
    <row r="18" spans="1:5" ht="24" customHeight="1">
      <c r="A18" s="439" t="s">
        <v>269</v>
      </c>
      <c r="B18" s="253" t="s">
        <v>270</v>
      </c>
      <c r="C18" s="485">
        <f>C20</f>
        <v>34887.699999999997</v>
      </c>
      <c r="D18" s="371">
        <v>28714.9</v>
      </c>
      <c r="E18" s="303">
        <f t="shared" si="0"/>
        <v>0.82306658220518991</v>
      </c>
    </row>
    <row r="19" spans="1:5" ht="18" customHeight="1">
      <c r="A19" s="234" t="s">
        <v>337</v>
      </c>
      <c r="B19" s="235" t="s">
        <v>334</v>
      </c>
      <c r="C19" s="486">
        <f>40-40</f>
        <v>0</v>
      </c>
      <c r="D19" s="371">
        <v>0</v>
      </c>
      <c r="E19" s="303">
        <v>0</v>
      </c>
    </row>
    <row r="20" spans="1:5" ht="18.600000000000001" customHeight="1">
      <c r="A20" s="234" t="s">
        <v>196</v>
      </c>
      <c r="B20" s="235" t="s">
        <v>195</v>
      </c>
      <c r="C20" s="486">
        <v>34887.699999999997</v>
      </c>
      <c r="D20" s="371">
        <v>28714.9</v>
      </c>
      <c r="E20" s="303">
        <f t="shared" si="0"/>
        <v>0.82306658220518991</v>
      </c>
    </row>
    <row r="21" spans="1:5" ht="19.2" customHeight="1">
      <c r="A21" s="234" t="s">
        <v>350</v>
      </c>
      <c r="B21" s="235" t="s">
        <v>349</v>
      </c>
      <c r="C21" s="486">
        <f>'[3]Вед. 2020 (прил 4)'!N116-46</f>
        <v>0</v>
      </c>
      <c r="D21" s="371">
        <v>0</v>
      </c>
      <c r="E21" s="303">
        <v>0</v>
      </c>
    </row>
    <row r="22" spans="1:5" ht="23.4" customHeight="1">
      <c r="A22" s="255" t="s">
        <v>28</v>
      </c>
      <c r="B22" s="253" t="s">
        <v>29</v>
      </c>
      <c r="C22" s="485">
        <f>C23</f>
        <v>62699.7</v>
      </c>
      <c r="D22" s="371">
        <v>46122.1</v>
      </c>
      <c r="E22" s="303">
        <f t="shared" si="0"/>
        <v>0.73560320065327267</v>
      </c>
    </row>
    <row r="23" spans="1:5" ht="19.2" customHeight="1">
      <c r="A23" s="521" t="s">
        <v>278</v>
      </c>
      <c r="B23" s="235" t="s">
        <v>67</v>
      </c>
      <c r="C23" s="486">
        <v>62699.7</v>
      </c>
      <c r="D23" s="371">
        <v>46122.1</v>
      </c>
      <c r="E23" s="303">
        <f t="shared" si="0"/>
        <v>0.73560320065327267</v>
      </c>
    </row>
    <row r="24" spans="1:5" ht="13.2">
      <c r="A24" s="255" t="s">
        <v>30</v>
      </c>
      <c r="B24" s="253" t="s">
        <v>19</v>
      </c>
      <c r="C24" s="485">
        <f>SUM(C25:C26)</f>
        <v>667.3</v>
      </c>
      <c r="D24" s="485">
        <f>SUM(D25:D26)</f>
        <v>603.29999999999995</v>
      </c>
      <c r="E24" s="303">
        <f t="shared" si="0"/>
        <v>0.90409111344222992</v>
      </c>
    </row>
    <row r="25" spans="1:5" ht="24.6" customHeight="1">
      <c r="A25" s="433" t="s">
        <v>281</v>
      </c>
      <c r="B25" s="235" t="s">
        <v>280</v>
      </c>
      <c r="C25" s="486">
        <f>'[3]Вед. 2020 (прил 4)'!N163</f>
        <v>64</v>
      </c>
      <c r="D25" s="371">
        <v>0</v>
      </c>
      <c r="E25" s="303">
        <f t="shared" si="0"/>
        <v>0</v>
      </c>
    </row>
    <row r="26" spans="1:5" ht="18" customHeight="1">
      <c r="A26" s="433" t="s">
        <v>565</v>
      </c>
      <c r="B26" s="235" t="s">
        <v>20</v>
      </c>
      <c r="C26" s="486">
        <v>603.29999999999995</v>
      </c>
      <c r="D26" s="371">
        <v>603.29999999999995</v>
      </c>
      <c r="E26" s="303">
        <f t="shared" si="0"/>
        <v>1</v>
      </c>
    </row>
    <row r="27" spans="1:5" ht="20.399999999999999" customHeight="1">
      <c r="A27" s="255" t="s">
        <v>181</v>
      </c>
      <c r="B27" s="253" t="s">
        <v>21</v>
      </c>
      <c r="C27" s="485">
        <f>C28+C29</f>
        <v>13956.7</v>
      </c>
      <c r="D27" s="485">
        <f>D28+D29</f>
        <v>12784.6</v>
      </c>
      <c r="E27" s="303">
        <f t="shared" si="0"/>
        <v>0.91601882966603854</v>
      </c>
    </row>
    <row r="28" spans="1:5" ht="15" customHeight="1">
      <c r="A28" s="433" t="s">
        <v>34</v>
      </c>
      <c r="B28" s="235" t="s">
        <v>35</v>
      </c>
      <c r="C28" s="486">
        <v>2848</v>
      </c>
      <c r="D28" s="371">
        <v>2842</v>
      </c>
      <c r="E28" s="303">
        <f t="shared" si="0"/>
        <v>0.9978932584269663</v>
      </c>
    </row>
    <row r="29" spans="1:5" ht="15.6" customHeight="1">
      <c r="A29" s="428" t="s">
        <v>267</v>
      </c>
      <c r="B29" s="235" t="s">
        <v>234</v>
      </c>
      <c r="C29" s="486">
        <v>11108.7</v>
      </c>
      <c r="D29" s="371">
        <v>9942.6</v>
      </c>
      <c r="E29" s="303">
        <f t="shared" si="0"/>
        <v>0.89502822112398384</v>
      </c>
    </row>
    <row r="30" spans="1:5" ht="17.399999999999999" customHeight="1">
      <c r="A30" s="255" t="s">
        <v>31</v>
      </c>
      <c r="B30" s="253">
        <v>1000</v>
      </c>
      <c r="C30" s="485">
        <f>SUM(C31:C32)</f>
        <v>1427.9</v>
      </c>
      <c r="D30" s="485">
        <f>SUM(D31:D32)</f>
        <v>1376.4</v>
      </c>
      <c r="E30" s="303">
        <f t="shared" si="0"/>
        <v>0.96393304853281048</v>
      </c>
    </row>
    <row r="31" spans="1:5" ht="24.6" customHeight="1">
      <c r="A31" s="234" t="s">
        <v>193</v>
      </c>
      <c r="B31" s="235" t="s">
        <v>192</v>
      </c>
      <c r="C31" s="486">
        <f>'[3]Функц.2020 (прил 3) '!L184</f>
        <v>346.5</v>
      </c>
      <c r="D31" s="371">
        <v>346.5</v>
      </c>
      <c r="E31" s="303">
        <f t="shared" si="0"/>
        <v>1</v>
      </c>
    </row>
    <row r="32" spans="1:5" ht="22.8" customHeight="1">
      <c r="A32" s="433" t="s">
        <v>150</v>
      </c>
      <c r="B32" s="235" t="s">
        <v>36</v>
      </c>
      <c r="C32" s="486">
        <f>'[3]Вед. 2020 (прил 4)'!N197</f>
        <v>1081.4000000000001</v>
      </c>
      <c r="D32" s="371">
        <v>1029.9000000000001</v>
      </c>
      <c r="E32" s="303">
        <f t="shared" si="0"/>
        <v>0.95237654891806922</v>
      </c>
    </row>
    <row r="33" spans="1:8" ht="17.399999999999999" customHeight="1">
      <c r="A33" s="255" t="s">
        <v>149</v>
      </c>
      <c r="B33" s="253" t="s">
        <v>161</v>
      </c>
      <c r="C33" s="485">
        <f>C34</f>
        <v>1532.2</v>
      </c>
      <c r="D33" s="485">
        <f>D34</f>
        <v>1516.5</v>
      </c>
      <c r="E33" s="303">
        <f t="shared" si="0"/>
        <v>0.98975329591437144</v>
      </c>
    </row>
    <row r="34" spans="1:8" ht="18" customHeight="1">
      <c r="A34" s="433" t="s">
        <v>162</v>
      </c>
      <c r="B34" s="235" t="s">
        <v>160</v>
      </c>
      <c r="C34" s="486">
        <v>1532.2</v>
      </c>
      <c r="D34" s="371">
        <v>1516.5</v>
      </c>
      <c r="E34" s="303">
        <f t="shared" si="0"/>
        <v>0.98975329591437144</v>
      </c>
    </row>
    <row r="35" spans="1:8" ht="18.600000000000001" customHeight="1">
      <c r="A35" s="255" t="s">
        <v>163</v>
      </c>
      <c r="B35" s="253" t="s">
        <v>164</v>
      </c>
      <c r="C35" s="485">
        <f>C36</f>
        <v>692.4</v>
      </c>
      <c r="D35" s="371">
        <v>692.4</v>
      </c>
      <c r="E35" s="303">
        <f t="shared" si="0"/>
        <v>1</v>
      </c>
    </row>
    <row r="36" spans="1:8" ht="19.2" customHeight="1" thickBot="1">
      <c r="A36" s="433" t="s">
        <v>166</v>
      </c>
      <c r="B36" s="235" t="s">
        <v>165</v>
      </c>
      <c r="C36" s="486">
        <f>'[3]Вед. 2020 (прил 4)'!N212</f>
        <v>692.4</v>
      </c>
      <c r="D36" s="371">
        <v>692.4</v>
      </c>
      <c r="E36" s="303">
        <f t="shared" si="0"/>
        <v>1</v>
      </c>
    </row>
    <row r="37" spans="1:8" ht="14.4" thickBot="1">
      <c r="A37" s="522" t="s">
        <v>32</v>
      </c>
      <c r="B37" s="523"/>
      <c r="C37" s="527">
        <f>C35+C33+C30+C27+C24+C22+C18+C16+C9</f>
        <v>130744.7</v>
      </c>
      <c r="D37" s="527">
        <f>D35+D33+D30+D27+D24+D22+D18+D16+D9</f>
        <v>106033.50000000001</v>
      </c>
      <c r="E37" s="303">
        <f t="shared" si="0"/>
        <v>0.81099654517544506</v>
      </c>
      <c r="H37" s="520"/>
    </row>
    <row r="39" spans="1:8">
      <c r="C39" s="520"/>
    </row>
    <row r="40" spans="1:8">
      <c r="C40" s="524"/>
    </row>
    <row r="42" spans="1:8">
      <c r="C42" s="525"/>
    </row>
  </sheetData>
  <mergeCells count="2">
    <mergeCell ref="B4:C4"/>
    <mergeCell ref="A5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3"/>
  <sheetViews>
    <sheetView workbookViewId="0">
      <selection activeCell="B14" sqref="B14"/>
    </sheetView>
  </sheetViews>
  <sheetFormatPr defaultColWidth="9.109375" defaultRowHeight="13.8"/>
  <cols>
    <col min="1" max="1" width="46.109375" style="8" customWidth="1"/>
    <col min="2" max="2" width="9.109375" style="9" customWidth="1"/>
    <col min="3" max="3" width="15" style="8" customWidth="1"/>
    <col min="4" max="4" width="11.109375" style="8" customWidth="1"/>
    <col min="5" max="5" width="15.33203125" style="419" customWidth="1"/>
    <col min="6" max="6" width="16.33203125" style="367" customWidth="1"/>
    <col min="7" max="7" width="13.33203125" style="294" customWidth="1"/>
    <col min="8" max="8" width="16.44140625" style="113" customWidth="1"/>
    <col min="9" max="16384" width="9.109375" style="113"/>
  </cols>
  <sheetData>
    <row r="1" spans="1:19" ht="15.6">
      <c r="A1" s="239"/>
      <c r="B1" s="276"/>
      <c r="C1" s="228"/>
      <c r="D1" s="228"/>
      <c r="G1" s="293" t="s">
        <v>529</v>
      </c>
    </row>
    <row r="2" spans="1:19" ht="12.75" customHeight="1">
      <c r="A2" s="114"/>
      <c r="B2" s="114"/>
      <c r="C2" s="114"/>
      <c r="D2" s="114"/>
      <c r="E2" s="536" t="s">
        <v>447</v>
      </c>
      <c r="F2" s="536"/>
      <c r="G2" s="536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</row>
    <row r="3" spans="1:19" ht="23.25" customHeight="1">
      <c r="A3" s="114"/>
      <c r="B3" s="114"/>
      <c r="C3" s="114"/>
      <c r="D3" s="114"/>
      <c r="G3" s="287" t="s">
        <v>483</v>
      </c>
      <c r="H3" s="119"/>
      <c r="I3" s="120"/>
      <c r="J3" s="119"/>
      <c r="K3" s="119"/>
      <c r="L3" s="119"/>
      <c r="M3" s="119"/>
      <c r="N3" s="119"/>
      <c r="O3" s="119"/>
      <c r="P3" s="2"/>
      <c r="Q3" s="2"/>
      <c r="R3" s="284"/>
    </row>
    <row r="4" spans="1:19" ht="13.2">
      <c r="A4" s="114"/>
      <c r="B4" s="114"/>
      <c r="C4" s="114"/>
      <c r="D4" s="114"/>
      <c r="E4" s="368"/>
    </row>
    <row r="5" spans="1:19" ht="12.75" customHeight="1">
      <c r="A5" s="535" t="s">
        <v>482</v>
      </c>
      <c r="B5" s="535"/>
      <c r="C5" s="535"/>
      <c r="D5" s="535"/>
      <c r="E5" s="535"/>
      <c r="F5" s="535"/>
      <c r="G5" s="535"/>
    </row>
    <row r="6" spans="1:19" ht="27" customHeight="1">
      <c r="A6" s="535"/>
      <c r="B6" s="535"/>
      <c r="C6" s="535"/>
      <c r="D6" s="535"/>
      <c r="E6" s="535"/>
      <c r="F6" s="535"/>
      <c r="G6" s="535"/>
    </row>
    <row r="7" spans="1:19" thickBot="1">
      <c r="A7" s="230"/>
      <c r="B7" s="229"/>
      <c r="C7" s="229"/>
      <c r="D7" s="231"/>
      <c r="E7" s="369"/>
    </row>
    <row r="8" spans="1:19" ht="85.5" customHeight="1" thickBot="1">
      <c r="A8" s="292" t="s">
        <v>22</v>
      </c>
      <c r="B8" s="232" t="s">
        <v>23</v>
      </c>
      <c r="C8" s="232" t="s">
        <v>12</v>
      </c>
      <c r="D8" s="232" t="s">
        <v>24</v>
      </c>
      <c r="E8" s="370" t="s">
        <v>416</v>
      </c>
      <c r="F8" s="396" t="s">
        <v>417</v>
      </c>
      <c r="G8" s="295" t="s">
        <v>418</v>
      </c>
    </row>
    <row r="9" spans="1:19" ht="20.25" customHeight="1">
      <c r="A9" s="251" t="s">
        <v>65</v>
      </c>
      <c r="B9" s="252" t="s">
        <v>11</v>
      </c>
      <c r="C9" s="252"/>
      <c r="D9" s="252"/>
      <c r="E9" s="371">
        <f>E10+E14+E26+E51+E56+E60</f>
        <v>14874.3</v>
      </c>
      <c r="F9" s="371">
        <f>F10+F14+F26+F51+F56+F60</f>
        <v>14223.299999999997</v>
      </c>
      <c r="G9" s="303">
        <f>F9/E9</f>
        <v>0.95623323450515307</v>
      </c>
    </row>
    <row r="10" spans="1:19" ht="38.4" customHeight="1">
      <c r="A10" s="251" t="s">
        <v>268</v>
      </c>
      <c r="B10" s="252" t="s">
        <v>37</v>
      </c>
      <c r="C10" s="252"/>
      <c r="D10" s="252"/>
      <c r="E10" s="371">
        <f t="shared" ref="E10:F11" si="0">E11</f>
        <v>1224</v>
      </c>
      <c r="F10" s="371">
        <f t="shared" si="0"/>
        <v>1212</v>
      </c>
      <c r="G10" s="303">
        <f t="shared" ref="G10:G77" si="1">F10/E10</f>
        <v>0.99019607843137258</v>
      </c>
    </row>
    <row r="11" spans="1:19" ht="24.6" customHeight="1">
      <c r="A11" s="254" t="s">
        <v>139</v>
      </c>
      <c r="B11" s="253" t="s">
        <v>37</v>
      </c>
      <c r="C11" s="253" t="s">
        <v>366</v>
      </c>
      <c r="D11" s="253"/>
      <c r="E11" s="372">
        <f t="shared" si="0"/>
        <v>1224</v>
      </c>
      <c r="F11" s="372">
        <f t="shared" si="0"/>
        <v>1212</v>
      </c>
      <c r="G11" s="303">
        <f t="shared" si="1"/>
        <v>0.99019607843137258</v>
      </c>
    </row>
    <row r="12" spans="1:19" ht="50.25" customHeight="1">
      <c r="A12" s="233" t="s">
        <v>284</v>
      </c>
      <c r="B12" s="235" t="s">
        <v>37</v>
      </c>
      <c r="C12" s="235" t="s">
        <v>366</v>
      </c>
      <c r="D12" s="235" t="s">
        <v>282</v>
      </c>
      <c r="E12" s="373">
        <v>1224</v>
      </c>
      <c r="F12" s="373">
        <v>1212</v>
      </c>
      <c r="G12" s="303">
        <f t="shared" si="1"/>
        <v>0.99019607843137258</v>
      </c>
    </row>
    <row r="13" spans="1:19" ht="32.4" customHeight="1">
      <c r="A13" s="233" t="s">
        <v>285</v>
      </c>
      <c r="B13" s="235" t="s">
        <v>37</v>
      </c>
      <c r="C13" s="235" t="s">
        <v>366</v>
      </c>
      <c r="D13" s="235" t="s">
        <v>283</v>
      </c>
      <c r="E13" s="373">
        <v>1224</v>
      </c>
      <c r="F13" s="373">
        <v>1212</v>
      </c>
      <c r="G13" s="303">
        <f t="shared" si="1"/>
        <v>0.99019607843137258</v>
      </c>
    </row>
    <row r="14" spans="1:19" ht="43.8" customHeight="1">
      <c r="A14" s="254" t="s">
        <v>183</v>
      </c>
      <c r="B14" s="253" t="s">
        <v>25</v>
      </c>
      <c r="C14" s="253"/>
      <c r="D14" s="253"/>
      <c r="E14" s="372">
        <f>E16+E23</f>
        <v>2478.0000000000005</v>
      </c>
      <c r="F14" s="372">
        <f>F16+F23</f>
        <v>2450.1</v>
      </c>
      <c r="G14" s="303">
        <f t="shared" si="1"/>
        <v>0.98874092009685211</v>
      </c>
    </row>
    <row r="15" spans="1:19" ht="30" hidden="1" customHeight="1">
      <c r="A15" s="304" t="s">
        <v>403</v>
      </c>
      <c r="B15" s="271" t="s">
        <v>25</v>
      </c>
      <c r="C15" s="253" t="s">
        <v>367</v>
      </c>
      <c r="D15" s="271"/>
      <c r="E15" s="372">
        <f>E16+E23</f>
        <v>2478.0000000000005</v>
      </c>
      <c r="F15" s="397"/>
      <c r="G15" s="303">
        <f t="shared" si="1"/>
        <v>0</v>
      </c>
    </row>
    <row r="16" spans="1:19" ht="34.200000000000003" customHeight="1">
      <c r="A16" s="254" t="s">
        <v>218</v>
      </c>
      <c r="B16" s="253" t="s">
        <v>25</v>
      </c>
      <c r="C16" s="253" t="s">
        <v>398</v>
      </c>
      <c r="D16" s="253"/>
      <c r="E16" s="372">
        <f>E17+E19+E21</f>
        <v>2359.6000000000004</v>
      </c>
      <c r="F16" s="372">
        <f>F17+F19+F21</f>
        <v>2348.6</v>
      </c>
      <c r="G16" s="303">
        <f t="shared" si="1"/>
        <v>0.99533819291405301</v>
      </c>
    </row>
    <row r="17" spans="1:7" ht="48">
      <c r="A17" s="305" t="s">
        <v>286</v>
      </c>
      <c r="B17" s="235" t="s">
        <v>25</v>
      </c>
      <c r="C17" s="235" t="s">
        <v>398</v>
      </c>
      <c r="D17" s="235" t="s">
        <v>282</v>
      </c>
      <c r="E17" s="374">
        <f>E18</f>
        <v>1392.4</v>
      </c>
      <c r="F17" s="374">
        <f>F18</f>
        <v>1390</v>
      </c>
      <c r="G17" s="303">
        <f t="shared" si="1"/>
        <v>0.99827635736857223</v>
      </c>
    </row>
    <row r="18" spans="1:7" ht="24">
      <c r="A18" s="305" t="s">
        <v>287</v>
      </c>
      <c r="B18" s="235" t="s">
        <v>25</v>
      </c>
      <c r="C18" s="235" t="s">
        <v>398</v>
      </c>
      <c r="D18" s="235" t="s">
        <v>283</v>
      </c>
      <c r="E18" s="374">
        <v>1392.4</v>
      </c>
      <c r="F18" s="374">
        <v>1390</v>
      </c>
      <c r="G18" s="303">
        <f t="shared" si="1"/>
        <v>0.99827635736857223</v>
      </c>
    </row>
    <row r="19" spans="1:7" ht="30.75" customHeight="1">
      <c r="A19" s="306" t="s">
        <v>289</v>
      </c>
      <c r="B19" s="235" t="s">
        <v>25</v>
      </c>
      <c r="C19" s="235" t="s">
        <v>398</v>
      </c>
      <c r="D19" s="235" t="s">
        <v>288</v>
      </c>
      <c r="E19" s="374">
        <f>E20</f>
        <v>967.2</v>
      </c>
      <c r="F19" s="374">
        <f>F20</f>
        <v>958.6</v>
      </c>
      <c r="G19" s="303">
        <f t="shared" si="1"/>
        <v>0.99110835401157982</v>
      </c>
    </row>
    <row r="20" spans="1:7" ht="36">
      <c r="A20" s="233" t="s">
        <v>266</v>
      </c>
      <c r="B20" s="235" t="s">
        <v>25</v>
      </c>
      <c r="C20" s="235" t="s">
        <v>398</v>
      </c>
      <c r="D20" s="235" t="s">
        <v>222</v>
      </c>
      <c r="E20" s="374">
        <v>967.2</v>
      </c>
      <c r="F20" s="374">
        <v>958.6</v>
      </c>
      <c r="G20" s="303">
        <f t="shared" si="1"/>
        <v>0.99110835401157982</v>
      </c>
    </row>
    <row r="21" spans="1:7" ht="24">
      <c r="A21" s="306" t="s">
        <v>291</v>
      </c>
      <c r="B21" s="235" t="s">
        <v>25</v>
      </c>
      <c r="C21" s="235" t="s">
        <v>398</v>
      </c>
      <c r="D21" s="235" t="s">
        <v>290</v>
      </c>
      <c r="E21" s="374">
        <v>0</v>
      </c>
      <c r="F21" s="374">
        <f>F22</f>
        <v>0</v>
      </c>
      <c r="G21" s="303">
        <v>0</v>
      </c>
    </row>
    <row r="22" spans="1:7" ht="24">
      <c r="A22" s="233" t="s">
        <v>293</v>
      </c>
      <c r="B22" s="235" t="s">
        <v>25</v>
      </c>
      <c r="C22" s="235" t="s">
        <v>398</v>
      </c>
      <c r="D22" s="235" t="s">
        <v>292</v>
      </c>
      <c r="E22" s="374">
        <v>0</v>
      </c>
      <c r="F22" s="374">
        <v>0</v>
      </c>
      <c r="G22" s="303">
        <v>0</v>
      </c>
    </row>
    <row r="23" spans="1:7" ht="33" customHeight="1">
      <c r="A23" s="304" t="s">
        <v>200</v>
      </c>
      <c r="B23" s="271" t="s">
        <v>25</v>
      </c>
      <c r="C23" s="253" t="s">
        <v>399</v>
      </c>
      <c r="D23" s="271"/>
      <c r="E23" s="372">
        <f>E24</f>
        <v>118.4</v>
      </c>
      <c r="F23" s="372">
        <f>F24</f>
        <v>101.5</v>
      </c>
      <c r="G23" s="303">
        <f t="shared" si="1"/>
        <v>0.85726351351351349</v>
      </c>
    </row>
    <row r="24" spans="1:7" ht="49.5" customHeight="1">
      <c r="A24" s="233" t="s">
        <v>284</v>
      </c>
      <c r="B24" s="235" t="s">
        <v>25</v>
      </c>
      <c r="C24" s="235" t="s">
        <v>399</v>
      </c>
      <c r="D24" s="235" t="s">
        <v>282</v>
      </c>
      <c r="E24" s="373">
        <f>E25</f>
        <v>118.4</v>
      </c>
      <c r="F24" s="373">
        <f>F25</f>
        <v>101.5</v>
      </c>
      <c r="G24" s="303">
        <f t="shared" si="1"/>
        <v>0.85726351351351349</v>
      </c>
    </row>
    <row r="25" spans="1:7" ht="26.25" customHeight="1">
      <c r="A25" s="233" t="s">
        <v>285</v>
      </c>
      <c r="B25" s="235" t="s">
        <v>25</v>
      </c>
      <c r="C25" s="235" t="s">
        <v>399</v>
      </c>
      <c r="D25" s="235" t="s">
        <v>283</v>
      </c>
      <c r="E25" s="373">
        <v>118.4</v>
      </c>
      <c r="F25" s="373">
        <v>101.5</v>
      </c>
      <c r="G25" s="303">
        <f t="shared" si="1"/>
        <v>0.85726351351351349</v>
      </c>
    </row>
    <row r="26" spans="1:7" ht="45.6">
      <c r="A26" s="254" t="s">
        <v>221</v>
      </c>
      <c r="B26" s="253" t="s">
        <v>40</v>
      </c>
      <c r="C26" s="253"/>
      <c r="D26" s="253"/>
      <c r="E26" s="372">
        <f>E28+E31+E39+E45</f>
        <v>9105</v>
      </c>
      <c r="F26" s="372">
        <f>F28+F31+F42+F45+F39</f>
        <v>8938.8999999999978</v>
      </c>
      <c r="G26" s="303">
        <f t="shared" si="1"/>
        <v>0.98175727622185593</v>
      </c>
    </row>
    <row r="27" spans="1:7" ht="34.200000000000003">
      <c r="A27" s="254" t="s">
        <v>402</v>
      </c>
      <c r="B27" s="253" t="s">
        <v>40</v>
      </c>
      <c r="C27" s="253" t="s">
        <v>368</v>
      </c>
      <c r="D27" s="253"/>
      <c r="E27" s="372">
        <f>E28+E31+E39</f>
        <v>8238.1</v>
      </c>
      <c r="F27" s="372">
        <f>F28+F31</f>
        <v>7782.2999999999993</v>
      </c>
      <c r="G27" s="303">
        <f t="shared" si="1"/>
        <v>0.94467170828224944</v>
      </c>
    </row>
    <row r="28" spans="1:7" ht="34.200000000000003">
      <c r="A28" s="254" t="s">
        <v>145</v>
      </c>
      <c r="B28" s="253" t="s">
        <v>40</v>
      </c>
      <c r="C28" s="253" t="s">
        <v>400</v>
      </c>
      <c r="D28" s="253"/>
      <c r="E28" s="372">
        <f>E30</f>
        <v>1275.7</v>
      </c>
      <c r="F28" s="372">
        <f>F30</f>
        <v>1257.7</v>
      </c>
      <c r="G28" s="303">
        <f t="shared" si="1"/>
        <v>0.98589009955318652</v>
      </c>
    </row>
    <row r="29" spans="1:7" ht="48">
      <c r="A29" s="233" t="s">
        <v>286</v>
      </c>
      <c r="B29" s="235" t="s">
        <v>40</v>
      </c>
      <c r="C29" s="235" t="s">
        <v>400</v>
      </c>
      <c r="D29" s="235" t="s">
        <v>282</v>
      </c>
      <c r="E29" s="373">
        <f>E30</f>
        <v>1275.7</v>
      </c>
      <c r="F29" s="373">
        <f>F30</f>
        <v>1257.7</v>
      </c>
      <c r="G29" s="303">
        <f t="shared" si="1"/>
        <v>0.98589009955318652</v>
      </c>
    </row>
    <row r="30" spans="1:7" ht="24">
      <c r="A30" s="233" t="s">
        <v>287</v>
      </c>
      <c r="B30" s="235" t="s">
        <v>40</v>
      </c>
      <c r="C30" s="235" t="s">
        <v>400</v>
      </c>
      <c r="D30" s="235" t="s">
        <v>283</v>
      </c>
      <c r="E30" s="373">
        <v>1275.7</v>
      </c>
      <c r="F30" s="373">
        <v>1257.7</v>
      </c>
      <c r="G30" s="303">
        <f t="shared" si="1"/>
        <v>0.98589009955318652</v>
      </c>
    </row>
    <row r="31" spans="1:7" ht="34.200000000000003">
      <c r="A31" s="269" t="s">
        <v>152</v>
      </c>
      <c r="B31" s="253" t="s">
        <v>40</v>
      </c>
      <c r="C31" s="253" t="s">
        <v>401</v>
      </c>
      <c r="D31" s="253"/>
      <c r="E31" s="372">
        <f>E32+E34+E36</f>
        <v>6671.5</v>
      </c>
      <c r="F31" s="372">
        <f>F32+F34+F36</f>
        <v>6524.5999999999995</v>
      </c>
      <c r="G31" s="303">
        <f t="shared" si="1"/>
        <v>0.977980963801244</v>
      </c>
    </row>
    <row r="32" spans="1:7" ht="48">
      <c r="A32" s="233" t="s">
        <v>286</v>
      </c>
      <c r="B32" s="235" t="s">
        <v>40</v>
      </c>
      <c r="C32" s="235" t="s">
        <v>401</v>
      </c>
      <c r="D32" s="235" t="s">
        <v>282</v>
      </c>
      <c r="E32" s="375">
        <f>E33</f>
        <v>5292.5</v>
      </c>
      <c r="F32" s="375">
        <f>F33</f>
        <v>5149.3999999999996</v>
      </c>
      <c r="G32" s="303">
        <f t="shared" si="1"/>
        <v>0.97296173830892763</v>
      </c>
    </row>
    <row r="33" spans="1:7" ht="24">
      <c r="A33" s="233" t="s">
        <v>287</v>
      </c>
      <c r="B33" s="235" t="s">
        <v>40</v>
      </c>
      <c r="C33" s="235" t="s">
        <v>401</v>
      </c>
      <c r="D33" s="235" t="s">
        <v>283</v>
      </c>
      <c r="E33" s="375">
        <v>5292.5</v>
      </c>
      <c r="F33" s="375">
        <v>5149.3999999999996</v>
      </c>
      <c r="G33" s="303">
        <f t="shared" si="1"/>
        <v>0.97296173830892763</v>
      </c>
    </row>
    <row r="34" spans="1:7" ht="31.5" customHeight="1">
      <c r="A34" s="306" t="s">
        <v>289</v>
      </c>
      <c r="B34" s="235" t="s">
        <v>40</v>
      </c>
      <c r="C34" s="235" t="s">
        <v>401</v>
      </c>
      <c r="D34" s="235" t="s">
        <v>288</v>
      </c>
      <c r="E34" s="373">
        <f>E35</f>
        <v>1339.1</v>
      </c>
      <c r="F34" s="373">
        <f>F35</f>
        <v>1335.2</v>
      </c>
      <c r="G34" s="303">
        <f t="shared" si="1"/>
        <v>0.99708759614666576</v>
      </c>
    </row>
    <row r="35" spans="1:7" ht="27.75" customHeight="1">
      <c r="A35" s="233" t="s">
        <v>266</v>
      </c>
      <c r="B35" s="235" t="s">
        <v>40</v>
      </c>
      <c r="C35" s="235" t="s">
        <v>401</v>
      </c>
      <c r="D35" s="235" t="s">
        <v>222</v>
      </c>
      <c r="E35" s="373">
        <v>1339.1</v>
      </c>
      <c r="F35" s="373">
        <v>1335.2</v>
      </c>
      <c r="G35" s="303">
        <f t="shared" si="1"/>
        <v>0.99708759614666576</v>
      </c>
    </row>
    <row r="36" spans="1:7" ht="24">
      <c r="A36" s="306" t="s">
        <v>291</v>
      </c>
      <c r="B36" s="235" t="s">
        <v>40</v>
      </c>
      <c r="C36" s="235" t="s">
        <v>401</v>
      </c>
      <c r="D36" s="235" t="s">
        <v>290</v>
      </c>
      <c r="E36" s="373">
        <f>E37+E38</f>
        <v>39.9</v>
      </c>
      <c r="F36" s="373">
        <f>F37+F38</f>
        <v>40</v>
      </c>
      <c r="G36" s="303">
        <f t="shared" si="1"/>
        <v>1.0025062656641603</v>
      </c>
    </row>
    <row r="37" spans="1:7" ht="24">
      <c r="A37" s="233" t="s">
        <v>293</v>
      </c>
      <c r="B37" s="235" t="s">
        <v>40</v>
      </c>
      <c r="C37" s="235" t="s">
        <v>401</v>
      </c>
      <c r="D37" s="235" t="s">
        <v>292</v>
      </c>
      <c r="E37" s="373">
        <v>6.9</v>
      </c>
      <c r="F37" s="373">
        <v>7</v>
      </c>
      <c r="G37" s="303">
        <f>F37/E37</f>
        <v>1.0144927536231882</v>
      </c>
    </row>
    <row r="38" spans="1:7" ht="31.8" customHeight="1">
      <c r="A38" s="233" t="s">
        <v>293</v>
      </c>
      <c r="B38" s="235" t="s">
        <v>40</v>
      </c>
      <c r="C38" s="235" t="s">
        <v>401</v>
      </c>
      <c r="D38" s="235" t="s">
        <v>525</v>
      </c>
      <c r="E38" s="373">
        <v>33</v>
      </c>
      <c r="F38" s="373">
        <v>33</v>
      </c>
      <c r="G38" s="303">
        <f>F38/E38</f>
        <v>1</v>
      </c>
    </row>
    <row r="39" spans="1:7" ht="22.8">
      <c r="A39" s="307" t="s">
        <v>431</v>
      </c>
      <c r="B39" s="301" t="s">
        <v>40</v>
      </c>
      <c r="C39" s="253" t="s">
        <v>432</v>
      </c>
      <c r="D39" s="236"/>
      <c r="E39" s="372">
        <f>E40</f>
        <v>290.89999999999998</v>
      </c>
      <c r="F39" s="372">
        <f>F40</f>
        <v>290.8</v>
      </c>
      <c r="G39" s="303">
        <f t="shared" si="1"/>
        <v>0.99965623925747693</v>
      </c>
    </row>
    <row r="40" spans="1:7" ht="23.4" customHeight="1">
      <c r="A40" s="305" t="s">
        <v>433</v>
      </c>
      <c r="B40" s="261" t="s">
        <v>40</v>
      </c>
      <c r="C40" s="235" t="s">
        <v>432</v>
      </c>
      <c r="D40" s="236" t="s">
        <v>282</v>
      </c>
      <c r="E40" s="373">
        <f>E41</f>
        <v>290.89999999999998</v>
      </c>
      <c r="F40" s="373">
        <f>F41</f>
        <v>290.8</v>
      </c>
      <c r="G40" s="303">
        <f t="shared" si="1"/>
        <v>0.99965623925747693</v>
      </c>
    </row>
    <row r="41" spans="1:7" ht="18" customHeight="1">
      <c r="A41" s="308" t="s">
        <v>434</v>
      </c>
      <c r="B41" s="261" t="s">
        <v>40</v>
      </c>
      <c r="C41" s="235" t="s">
        <v>432</v>
      </c>
      <c r="D41" s="236" t="s">
        <v>283</v>
      </c>
      <c r="E41" s="373">
        <v>290.89999999999998</v>
      </c>
      <c r="F41" s="373">
        <v>290.8</v>
      </c>
      <c r="G41" s="303">
        <f t="shared" si="1"/>
        <v>0.99965623925747693</v>
      </c>
    </row>
    <row r="42" spans="1:7" ht="33" customHeight="1">
      <c r="A42" s="269" t="s">
        <v>405</v>
      </c>
      <c r="B42" s="257" t="s">
        <v>40</v>
      </c>
      <c r="C42" s="257" t="s">
        <v>406</v>
      </c>
      <c r="D42" s="257"/>
      <c r="E42" s="376">
        <f>E43</f>
        <v>0</v>
      </c>
      <c r="F42" s="376">
        <f>F43</f>
        <v>0</v>
      </c>
      <c r="G42" s="303">
        <v>0</v>
      </c>
    </row>
    <row r="43" spans="1:7" ht="30.6" customHeight="1">
      <c r="A43" s="306" t="s">
        <v>289</v>
      </c>
      <c r="B43" s="235" t="s">
        <v>40</v>
      </c>
      <c r="C43" s="236" t="s">
        <v>406</v>
      </c>
      <c r="D43" s="235" t="s">
        <v>288</v>
      </c>
      <c r="E43" s="373">
        <f>E44</f>
        <v>0</v>
      </c>
      <c r="F43" s="373">
        <f>F44</f>
        <v>0</v>
      </c>
      <c r="G43" s="303">
        <v>0</v>
      </c>
    </row>
    <row r="44" spans="1:7" ht="25.8" customHeight="1">
      <c r="A44" s="233" t="s">
        <v>266</v>
      </c>
      <c r="B44" s="235" t="s">
        <v>40</v>
      </c>
      <c r="C44" s="236" t="s">
        <v>406</v>
      </c>
      <c r="D44" s="235" t="s">
        <v>222</v>
      </c>
      <c r="E44" s="373">
        <v>0</v>
      </c>
      <c r="F44" s="373">
        <v>0</v>
      </c>
      <c r="G44" s="303">
        <v>0</v>
      </c>
    </row>
    <row r="45" spans="1:7" ht="32.4" customHeight="1">
      <c r="A45" s="269" t="s">
        <v>407</v>
      </c>
      <c r="B45" s="253" t="s">
        <v>40</v>
      </c>
      <c r="C45" s="257" t="s">
        <v>408</v>
      </c>
      <c r="D45" s="253"/>
      <c r="E45" s="372">
        <f>E46</f>
        <v>866.9</v>
      </c>
      <c r="F45" s="372">
        <f>F46</f>
        <v>865.8</v>
      </c>
      <c r="G45" s="303">
        <f t="shared" si="1"/>
        <v>0.99873111085476984</v>
      </c>
    </row>
    <row r="46" spans="1:7" ht="24">
      <c r="A46" s="309" t="s">
        <v>153</v>
      </c>
      <c r="B46" s="235" t="s">
        <v>40</v>
      </c>
      <c r="C46" s="236" t="s">
        <v>408</v>
      </c>
      <c r="D46" s="235"/>
      <c r="E46" s="373">
        <f>E47+E49</f>
        <v>866.9</v>
      </c>
      <c r="F46" s="373">
        <f>F47+F49</f>
        <v>865.8</v>
      </c>
      <c r="G46" s="303">
        <f t="shared" si="1"/>
        <v>0.99873111085476984</v>
      </c>
    </row>
    <row r="47" spans="1:7" ht="33.6" customHeight="1">
      <c r="A47" s="233" t="s">
        <v>286</v>
      </c>
      <c r="B47" s="235" t="s">
        <v>40</v>
      </c>
      <c r="C47" s="236" t="s">
        <v>408</v>
      </c>
      <c r="D47" s="235" t="s">
        <v>282</v>
      </c>
      <c r="E47" s="373">
        <f>E48</f>
        <v>798.6</v>
      </c>
      <c r="F47" s="373">
        <f>F48</f>
        <v>797.4</v>
      </c>
      <c r="G47" s="303">
        <f t="shared" si="1"/>
        <v>0.99849737039819675</v>
      </c>
    </row>
    <row r="48" spans="1:7" ht="24">
      <c r="A48" s="233" t="s">
        <v>287</v>
      </c>
      <c r="B48" s="235" t="s">
        <v>40</v>
      </c>
      <c r="C48" s="236" t="s">
        <v>408</v>
      </c>
      <c r="D48" s="235" t="s">
        <v>283</v>
      </c>
      <c r="E48" s="373">
        <v>798.6</v>
      </c>
      <c r="F48" s="373">
        <v>797.4</v>
      </c>
      <c r="G48" s="303">
        <f t="shared" si="1"/>
        <v>0.99849737039819675</v>
      </c>
    </row>
    <row r="49" spans="1:7" ht="27.75" customHeight="1">
      <c r="A49" s="306" t="s">
        <v>289</v>
      </c>
      <c r="B49" s="235" t="s">
        <v>40</v>
      </c>
      <c r="C49" s="236" t="s">
        <v>408</v>
      </c>
      <c r="D49" s="235" t="s">
        <v>288</v>
      </c>
      <c r="E49" s="373">
        <f>E50</f>
        <v>68.3</v>
      </c>
      <c r="F49" s="373">
        <f>F50</f>
        <v>68.400000000000006</v>
      </c>
      <c r="G49" s="303">
        <f t="shared" si="1"/>
        <v>1.0014641288433384</v>
      </c>
    </row>
    <row r="50" spans="1:7" ht="23.25" customHeight="1">
      <c r="A50" s="233" t="s">
        <v>266</v>
      </c>
      <c r="B50" s="235" t="s">
        <v>40</v>
      </c>
      <c r="C50" s="236" t="s">
        <v>408</v>
      </c>
      <c r="D50" s="235" t="s">
        <v>222</v>
      </c>
      <c r="E50" s="373">
        <v>68.3</v>
      </c>
      <c r="F50" s="373">
        <v>68.400000000000006</v>
      </c>
      <c r="G50" s="303">
        <f t="shared" si="1"/>
        <v>1.0014641288433384</v>
      </c>
    </row>
    <row r="51" spans="1:7" s="347" customFormat="1" ht="23.25" customHeight="1">
      <c r="A51" s="254" t="s">
        <v>455</v>
      </c>
      <c r="B51" s="253" t="s">
        <v>456</v>
      </c>
      <c r="C51" s="257" t="s">
        <v>457</v>
      </c>
      <c r="D51" s="253"/>
      <c r="E51" s="372">
        <f>E52+E54</f>
        <v>332.6</v>
      </c>
      <c r="F51" s="372">
        <f>F53+F55</f>
        <v>0</v>
      </c>
      <c r="G51" s="303">
        <f t="shared" si="1"/>
        <v>0</v>
      </c>
    </row>
    <row r="52" spans="1:7" s="347" customFormat="1" ht="23.25" customHeight="1">
      <c r="A52" s="233" t="s">
        <v>458</v>
      </c>
      <c r="B52" s="235" t="s">
        <v>456</v>
      </c>
      <c r="C52" s="236" t="s">
        <v>457</v>
      </c>
      <c r="D52" s="235" t="s">
        <v>282</v>
      </c>
      <c r="E52" s="373">
        <v>156.30000000000001</v>
      </c>
      <c r="F52" s="373">
        <v>0</v>
      </c>
      <c r="G52" s="348">
        <f t="shared" ref="G52" si="2">F52/E52</f>
        <v>0</v>
      </c>
    </row>
    <row r="53" spans="1:7" s="2" customFormat="1" ht="52.95" customHeight="1">
      <c r="A53" s="233" t="s">
        <v>458</v>
      </c>
      <c r="B53" s="235" t="s">
        <v>456</v>
      </c>
      <c r="C53" s="236" t="s">
        <v>457</v>
      </c>
      <c r="D53" s="235" t="s">
        <v>283</v>
      </c>
      <c r="E53" s="373">
        <v>156.30000000000001</v>
      </c>
      <c r="F53" s="373">
        <v>0</v>
      </c>
      <c r="G53" s="348">
        <f t="shared" si="1"/>
        <v>0</v>
      </c>
    </row>
    <row r="54" spans="1:7" s="2" customFormat="1" ht="33.6" customHeight="1">
      <c r="A54" s="306" t="s">
        <v>289</v>
      </c>
      <c r="B54" s="235" t="s">
        <v>456</v>
      </c>
      <c r="C54" s="236" t="s">
        <v>457</v>
      </c>
      <c r="D54" s="235" t="s">
        <v>288</v>
      </c>
      <c r="E54" s="373">
        <v>176.3</v>
      </c>
      <c r="F54" s="373">
        <v>0</v>
      </c>
      <c r="G54" s="348">
        <f t="shared" ref="G54" si="3">F54/E54</f>
        <v>0</v>
      </c>
    </row>
    <row r="55" spans="1:7" s="2" customFormat="1" ht="23.25" customHeight="1">
      <c r="A55" s="306" t="s">
        <v>289</v>
      </c>
      <c r="B55" s="235" t="s">
        <v>456</v>
      </c>
      <c r="C55" s="236" t="s">
        <v>457</v>
      </c>
      <c r="D55" s="235" t="s">
        <v>222</v>
      </c>
      <c r="E55" s="373">
        <v>176.3</v>
      </c>
      <c r="F55" s="373">
        <v>0</v>
      </c>
      <c r="G55" s="348">
        <f t="shared" si="1"/>
        <v>0</v>
      </c>
    </row>
    <row r="56" spans="1:7" ht="16.2" customHeight="1">
      <c r="A56" s="269" t="s">
        <v>265</v>
      </c>
      <c r="B56" s="253" t="s">
        <v>158</v>
      </c>
      <c r="C56" s="253"/>
      <c r="D56" s="253"/>
      <c r="E56" s="372">
        <f t="shared" ref="E56:F56" si="4">E57</f>
        <v>20</v>
      </c>
      <c r="F56" s="372">
        <f t="shared" si="4"/>
        <v>0</v>
      </c>
      <c r="G56" s="303">
        <f t="shared" si="1"/>
        <v>0</v>
      </c>
    </row>
    <row r="57" spans="1:7" ht="18" customHeight="1">
      <c r="A57" s="254" t="s">
        <v>146</v>
      </c>
      <c r="B57" s="257" t="s">
        <v>158</v>
      </c>
      <c r="C57" s="257" t="s">
        <v>365</v>
      </c>
      <c r="D57" s="257"/>
      <c r="E57" s="376">
        <f>E59</f>
        <v>20</v>
      </c>
      <c r="F57" s="376">
        <f>F59</f>
        <v>0</v>
      </c>
      <c r="G57" s="303">
        <f t="shared" si="1"/>
        <v>0</v>
      </c>
    </row>
    <row r="58" spans="1:7" ht="19.2" customHeight="1">
      <c r="A58" s="310" t="s">
        <v>291</v>
      </c>
      <c r="B58" s="236" t="s">
        <v>158</v>
      </c>
      <c r="C58" s="236" t="s">
        <v>365</v>
      </c>
      <c r="D58" s="236" t="s">
        <v>290</v>
      </c>
      <c r="E58" s="373">
        <f>E59</f>
        <v>20</v>
      </c>
      <c r="F58" s="373">
        <f>F59</f>
        <v>0</v>
      </c>
      <c r="G58" s="303">
        <f t="shared" si="1"/>
        <v>0</v>
      </c>
    </row>
    <row r="59" spans="1:7" ht="15.6" customHeight="1">
      <c r="A59" s="233" t="s">
        <v>223</v>
      </c>
      <c r="B59" s="236" t="s">
        <v>158</v>
      </c>
      <c r="C59" s="236" t="s">
        <v>365</v>
      </c>
      <c r="D59" s="236" t="s">
        <v>224</v>
      </c>
      <c r="E59" s="373">
        <v>20</v>
      </c>
      <c r="F59" s="373">
        <v>0</v>
      </c>
      <c r="G59" s="303">
        <f t="shared" si="1"/>
        <v>0</v>
      </c>
    </row>
    <row r="60" spans="1:7" ht="19.8" customHeight="1">
      <c r="A60" s="269" t="s">
        <v>26</v>
      </c>
      <c r="B60" s="253" t="s">
        <v>159</v>
      </c>
      <c r="C60" s="253"/>
      <c r="D60" s="253"/>
      <c r="E60" s="372">
        <f>E64+E67+E70+E73+E76+E82+E85+E88+E91+E94</f>
        <v>1714.6999999999998</v>
      </c>
      <c r="F60" s="372">
        <f>F64+F67+F70+F73+F76++F82+F85+F88+F94+F91</f>
        <v>1622.2999999999997</v>
      </c>
      <c r="G60" s="303">
        <f t="shared" si="1"/>
        <v>0.94611302268618414</v>
      </c>
    </row>
    <row r="61" spans="1:7" ht="34.200000000000003" hidden="1">
      <c r="A61" s="269" t="s">
        <v>147</v>
      </c>
      <c r="B61" s="253" t="s">
        <v>159</v>
      </c>
      <c r="C61" s="253" t="s">
        <v>369</v>
      </c>
      <c r="D61" s="253"/>
      <c r="E61" s="372" t="e">
        <f t="shared" ref="E61:F61" si="5">E63</f>
        <v>#REF!</v>
      </c>
      <c r="F61" s="372">
        <f t="shared" si="5"/>
        <v>0</v>
      </c>
      <c r="G61" s="303" t="e">
        <f t="shared" si="1"/>
        <v>#REF!</v>
      </c>
    </row>
    <row r="62" spans="1:7" ht="60" hidden="1">
      <c r="A62" s="306" t="s">
        <v>289</v>
      </c>
      <c r="B62" s="235" t="s">
        <v>159</v>
      </c>
      <c r="C62" s="235" t="s">
        <v>369</v>
      </c>
      <c r="D62" s="235" t="s">
        <v>288</v>
      </c>
      <c r="E62" s="373" t="e">
        <f>E63</f>
        <v>#REF!</v>
      </c>
      <c r="F62" s="373">
        <f>F63</f>
        <v>0</v>
      </c>
      <c r="G62" s="303" t="e">
        <f t="shared" si="1"/>
        <v>#REF!</v>
      </c>
    </row>
    <row r="63" spans="1:7" ht="36" hidden="1">
      <c r="A63" s="233" t="s">
        <v>266</v>
      </c>
      <c r="B63" s="235" t="s">
        <v>159</v>
      </c>
      <c r="C63" s="235" t="s">
        <v>369</v>
      </c>
      <c r="D63" s="235" t="s">
        <v>222</v>
      </c>
      <c r="E63" s="373" t="e">
        <f>#REF!</f>
        <v>#REF!</v>
      </c>
      <c r="F63" s="398"/>
      <c r="G63" s="303" t="e">
        <f t="shared" si="1"/>
        <v>#REF!</v>
      </c>
    </row>
    <row r="64" spans="1:7" ht="21" customHeight="1">
      <c r="A64" s="269" t="s">
        <v>332</v>
      </c>
      <c r="B64" s="253" t="s">
        <v>159</v>
      </c>
      <c r="C64" s="253" t="s">
        <v>370</v>
      </c>
      <c r="D64" s="253"/>
      <c r="E64" s="372">
        <f t="shared" ref="E64:F64" si="6">E66</f>
        <v>496.4</v>
      </c>
      <c r="F64" s="372">
        <f t="shared" si="6"/>
        <v>496.2</v>
      </c>
      <c r="G64" s="303">
        <f t="shared" si="1"/>
        <v>0.99959709911361805</v>
      </c>
    </row>
    <row r="65" spans="1:7" ht="27" customHeight="1">
      <c r="A65" s="306" t="s">
        <v>289</v>
      </c>
      <c r="B65" s="235" t="s">
        <v>159</v>
      </c>
      <c r="C65" s="235" t="s">
        <v>370</v>
      </c>
      <c r="D65" s="235" t="s">
        <v>288</v>
      </c>
      <c r="E65" s="373">
        <f>E66</f>
        <v>496.4</v>
      </c>
      <c r="F65" s="373">
        <f>F66</f>
        <v>496.2</v>
      </c>
      <c r="G65" s="303">
        <f t="shared" si="1"/>
        <v>0.99959709911361805</v>
      </c>
    </row>
    <row r="66" spans="1:7" ht="28.5" customHeight="1">
      <c r="A66" s="233" t="s">
        <v>266</v>
      </c>
      <c r="B66" s="235" t="s">
        <v>159</v>
      </c>
      <c r="C66" s="235" t="s">
        <v>370</v>
      </c>
      <c r="D66" s="235" t="s">
        <v>222</v>
      </c>
      <c r="E66" s="373">
        <v>496.4</v>
      </c>
      <c r="F66" s="373">
        <v>496.2</v>
      </c>
      <c r="G66" s="303">
        <f t="shared" si="1"/>
        <v>0.99959709911361805</v>
      </c>
    </row>
    <row r="67" spans="1:7" ht="64.5" customHeight="1">
      <c r="A67" s="269" t="s">
        <v>331</v>
      </c>
      <c r="B67" s="253" t="s">
        <v>159</v>
      </c>
      <c r="C67" s="253" t="s">
        <v>375</v>
      </c>
      <c r="D67" s="253"/>
      <c r="E67" s="372">
        <f t="shared" ref="E67:F67" si="7">E69</f>
        <v>794.8</v>
      </c>
      <c r="F67" s="372">
        <f t="shared" si="7"/>
        <v>777.4</v>
      </c>
      <c r="G67" s="303">
        <f t="shared" si="1"/>
        <v>0.9781077000503271</v>
      </c>
    </row>
    <row r="68" spans="1:7" ht="28.5" customHeight="1">
      <c r="A68" s="306" t="s">
        <v>289</v>
      </c>
      <c r="B68" s="235" t="s">
        <v>159</v>
      </c>
      <c r="C68" s="235" t="s">
        <v>375</v>
      </c>
      <c r="D68" s="235" t="s">
        <v>288</v>
      </c>
      <c r="E68" s="373">
        <f>E69</f>
        <v>794.8</v>
      </c>
      <c r="F68" s="373">
        <f>F69</f>
        <v>777.4</v>
      </c>
      <c r="G68" s="303">
        <f t="shared" si="1"/>
        <v>0.9781077000503271</v>
      </c>
    </row>
    <row r="69" spans="1:7" ht="26.25" customHeight="1">
      <c r="A69" s="233" t="s">
        <v>266</v>
      </c>
      <c r="B69" s="235" t="s">
        <v>159</v>
      </c>
      <c r="C69" s="235" t="s">
        <v>375</v>
      </c>
      <c r="D69" s="235" t="s">
        <v>222</v>
      </c>
      <c r="E69" s="373">
        <v>794.8</v>
      </c>
      <c r="F69" s="373">
        <v>777.4</v>
      </c>
      <c r="G69" s="303">
        <f t="shared" si="1"/>
        <v>0.9781077000503271</v>
      </c>
    </row>
    <row r="70" spans="1:7" ht="46.95" customHeight="1">
      <c r="A70" s="254" t="s">
        <v>475</v>
      </c>
      <c r="B70" s="253" t="s">
        <v>159</v>
      </c>
      <c r="C70" s="235" t="s">
        <v>476</v>
      </c>
      <c r="D70" s="253"/>
      <c r="E70" s="372">
        <f>E71</f>
        <v>7.5</v>
      </c>
      <c r="F70" s="372">
        <f>F71</f>
        <v>7.5</v>
      </c>
      <c r="G70" s="303">
        <f t="shared" si="1"/>
        <v>1</v>
      </c>
    </row>
    <row r="71" spans="1:7" ht="26.25" customHeight="1">
      <c r="A71" s="306" t="s">
        <v>289</v>
      </c>
      <c r="B71" s="235" t="s">
        <v>159</v>
      </c>
      <c r="C71" s="235" t="s">
        <v>476</v>
      </c>
      <c r="D71" s="235" t="s">
        <v>288</v>
      </c>
      <c r="E71" s="373">
        <v>7.5</v>
      </c>
      <c r="F71" s="373">
        <v>7.5</v>
      </c>
      <c r="G71" s="303">
        <f t="shared" si="1"/>
        <v>1</v>
      </c>
    </row>
    <row r="72" spans="1:7" ht="26.25" customHeight="1">
      <c r="A72" s="306" t="s">
        <v>289</v>
      </c>
      <c r="B72" s="235" t="s">
        <v>159</v>
      </c>
      <c r="C72" s="235" t="s">
        <v>476</v>
      </c>
      <c r="D72" s="235" t="s">
        <v>222</v>
      </c>
      <c r="E72" s="373">
        <v>7.5</v>
      </c>
      <c r="F72" s="373">
        <v>7.5</v>
      </c>
      <c r="G72" s="303">
        <f t="shared" si="1"/>
        <v>1</v>
      </c>
    </row>
    <row r="73" spans="1:7" ht="43.8" customHeight="1">
      <c r="A73" s="254" t="s">
        <v>147</v>
      </c>
      <c r="B73" s="253" t="s">
        <v>159</v>
      </c>
      <c r="C73" s="253" t="s">
        <v>369</v>
      </c>
      <c r="D73" s="253"/>
      <c r="E73" s="372">
        <f>E74</f>
        <v>100</v>
      </c>
      <c r="F73" s="373">
        <f>F74</f>
        <v>99.1</v>
      </c>
      <c r="G73" s="303">
        <f t="shared" si="1"/>
        <v>0.99099999999999999</v>
      </c>
    </row>
    <row r="74" spans="1:7" ht="36.6" customHeight="1">
      <c r="A74" s="233" t="s">
        <v>517</v>
      </c>
      <c r="B74" s="235" t="s">
        <v>159</v>
      </c>
      <c r="C74" s="235" t="s">
        <v>369</v>
      </c>
      <c r="D74" s="235" t="s">
        <v>288</v>
      </c>
      <c r="E74" s="373">
        <f>E75</f>
        <v>100</v>
      </c>
      <c r="F74" s="373">
        <f>F75</f>
        <v>99.1</v>
      </c>
      <c r="G74" s="303">
        <f t="shared" si="1"/>
        <v>0.99099999999999999</v>
      </c>
    </row>
    <row r="75" spans="1:7" ht="37.799999999999997" customHeight="1">
      <c r="A75" s="233" t="s">
        <v>518</v>
      </c>
      <c r="B75" s="235" t="s">
        <v>159</v>
      </c>
      <c r="C75" s="235" t="s">
        <v>369</v>
      </c>
      <c r="D75" s="235" t="s">
        <v>222</v>
      </c>
      <c r="E75" s="373">
        <v>100</v>
      </c>
      <c r="F75" s="373">
        <v>99.1</v>
      </c>
      <c r="G75" s="303">
        <f t="shared" si="1"/>
        <v>0.99099999999999999</v>
      </c>
    </row>
    <row r="76" spans="1:7" ht="45.6">
      <c r="A76" s="269" t="s">
        <v>348</v>
      </c>
      <c r="B76" s="253" t="s">
        <v>159</v>
      </c>
      <c r="C76" s="253" t="s">
        <v>371</v>
      </c>
      <c r="D76" s="253"/>
      <c r="E76" s="372">
        <f t="shared" ref="E76:F76" si="8">E78</f>
        <v>23</v>
      </c>
      <c r="F76" s="372">
        <f t="shared" si="8"/>
        <v>0</v>
      </c>
      <c r="G76" s="303">
        <f t="shared" si="1"/>
        <v>0</v>
      </c>
    </row>
    <row r="77" spans="1:7" ht="32.25" customHeight="1">
      <c r="A77" s="306" t="s">
        <v>289</v>
      </c>
      <c r="B77" s="235" t="s">
        <v>159</v>
      </c>
      <c r="C77" s="235" t="s">
        <v>371</v>
      </c>
      <c r="D77" s="235" t="s">
        <v>288</v>
      </c>
      <c r="E77" s="373">
        <f>E78</f>
        <v>23</v>
      </c>
      <c r="F77" s="373">
        <f>F78</f>
        <v>0</v>
      </c>
      <c r="G77" s="303">
        <f t="shared" si="1"/>
        <v>0</v>
      </c>
    </row>
    <row r="78" spans="1:7" ht="25.5" customHeight="1">
      <c r="A78" s="233" t="s">
        <v>266</v>
      </c>
      <c r="B78" s="235" t="s">
        <v>159</v>
      </c>
      <c r="C78" s="235" t="s">
        <v>371</v>
      </c>
      <c r="D78" s="235" t="s">
        <v>222</v>
      </c>
      <c r="E78" s="373">
        <v>23</v>
      </c>
      <c r="F78" s="373">
        <v>0</v>
      </c>
      <c r="G78" s="303">
        <f t="shared" ref="G78:G136" si="9">F78/E78</f>
        <v>0</v>
      </c>
    </row>
    <row r="79" spans="1:7" ht="25.5" hidden="1" customHeight="1">
      <c r="A79" s="254" t="s">
        <v>444</v>
      </c>
      <c r="B79" s="253" t="s">
        <v>159</v>
      </c>
      <c r="C79" s="253" t="s">
        <v>445</v>
      </c>
      <c r="D79" s="291"/>
      <c r="E79" s="372">
        <f>E80</f>
        <v>0</v>
      </c>
      <c r="F79" s="372">
        <f>F80</f>
        <v>0</v>
      </c>
      <c r="G79" s="303" t="e">
        <f t="shared" si="9"/>
        <v>#DIV/0!</v>
      </c>
    </row>
    <row r="80" spans="1:7" ht="25.5" hidden="1" customHeight="1">
      <c r="A80" s="306" t="s">
        <v>289</v>
      </c>
      <c r="B80" s="235" t="s">
        <v>159</v>
      </c>
      <c r="C80" s="235" t="s">
        <v>445</v>
      </c>
      <c r="D80" s="299">
        <v>200</v>
      </c>
      <c r="E80" s="373">
        <f>E81</f>
        <v>0</v>
      </c>
      <c r="F80" s="373">
        <f>F81</f>
        <v>0</v>
      </c>
      <c r="G80" s="303" t="e">
        <f t="shared" si="9"/>
        <v>#DIV/0!</v>
      </c>
    </row>
    <row r="81" spans="1:7" ht="25.5" hidden="1" customHeight="1">
      <c r="A81" s="233" t="s">
        <v>266</v>
      </c>
      <c r="B81" s="235" t="s">
        <v>159</v>
      </c>
      <c r="C81" s="235" t="s">
        <v>445</v>
      </c>
      <c r="D81" s="299">
        <v>240</v>
      </c>
      <c r="E81" s="373">
        <v>0</v>
      </c>
      <c r="F81" s="373">
        <v>0</v>
      </c>
      <c r="G81" s="303" t="e">
        <f t="shared" si="9"/>
        <v>#DIV/0!</v>
      </c>
    </row>
    <row r="82" spans="1:7" ht="34.200000000000003">
      <c r="A82" s="269" t="s">
        <v>225</v>
      </c>
      <c r="B82" s="253" t="s">
        <v>159</v>
      </c>
      <c r="C82" s="253" t="s">
        <v>373</v>
      </c>
      <c r="D82" s="253"/>
      <c r="E82" s="372">
        <f t="shared" ref="E82:F82" si="10">E84</f>
        <v>84</v>
      </c>
      <c r="F82" s="372">
        <f t="shared" si="10"/>
        <v>84</v>
      </c>
      <c r="G82" s="303">
        <f t="shared" si="9"/>
        <v>1</v>
      </c>
    </row>
    <row r="83" spans="1:7" ht="24">
      <c r="A83" s="311" t="s">
        <v>291</v>
      </c>
      <c r="B83" s="235" t="s">
        <v>159</v>
      </c>
      <c r="C83" s="235" t="s">
        <v>373</v>
      </c>
      <c r="D83" s="235" t="s">
        <v>290</v>
      </c>
      <c r="E83" s="373">
        <f>E84</f>
        <v>84</v>
      </c>
      <c r="F83" s="373">
        <f>F84</f>
        <v>84</v>
      </c>
      <c r="G83" s="303">
        <f t="shared" si="9"/>
        <v>1</v>
      </c>
    </row>
    <row r="84" spans="1:7" ht="24">
      <c r="A84" s="311" t="s">
        <v>293</v>
      </c>
      <c r="B84" s="235" t="s">
        <v>159</v>
      </c>
      <c r="C84" s="235" t="s">
        <v>373</v>
      </c>
      <c r="D84" s="235" t="s">
        <v>292</v>
      </c>
      <c r="E84" s="373">
        <v>84</v>
      </c>
      <c r="F84" s="373">
        <v>84</v>
      </c>
      <c r="G84" s="303">
        <f t="shared" si="9"/>
        <v>1</v>
      </c>
    </row>
    <row r="85" spans="1:7" ht="68.400000000000006">
      <c r="A85" s="269" t="s">
        <v>352</v>
      </c>
      <c r="B85" s="253" t="s">
        <v>159</v>
      </c>
      <c r="C85" s="253" t="s">
        <v>374</v>
      </c>
      <c r="D85" s="253"/>
      <c r="E85" s="377">
        <f>E87</f>
        <v>12</v>
      </c>
      <c r="F85" s="377">
        <f>F87</f>
        <v>12</v>
      </c>
      <c r="G85" s="303">
        <f t="shared" si="9"/>
        <v>1</v>
      </c>
    </row>
    <row r="86" spans="1:7" ht="30.75" customHeight="1">
      <c r="A86" s="306" t="s">
        <v>289</v>
      </c>
      <c r="B86" s="238" t="s">
        <v>159</v>
      </c>
      <c r="C86" s="235" t="s">
        <v>374</v>
      </c>
      <c r="D86" s="238" t="s">
        <v>288</v>
      </c>
      <c r="E86" s="373">
        <f>E87</f>
        <v>12</v>
      </c>
      <c r="F86" s="373">
        <f>F87</f>
        <v>12</v>
      </c>
      <c r="G86" s="303">
        <f t="shared" si="9"/>
        <v>1</v>
      </c>
    </row>
    <row r="87" spans="1:7" ht="29.25" customHeight="1">
      <c r="A87" s="233" t="s">
        <v>266</v>
      </c>
      <c r="B87" s="238" t="s">
        <v>159</v>
      </c>
      <c r="C87" s="235" t="s">
        <v>374</v>
      </c>
      <c r="D87" s="238" t="s">
        <v>222</v>
      </c>
      <c r="E87" s="373">
        <v>12</v>
      </c>
      <c r="F87" s="373">
        <v>12</v>
      </c>
      <c r="G87" s="303">
        <f t="shared" si="9"/>
        <v>1</v>
      </c>
    </row>
    <row r="88" spans="1:7" ht="45.6">
      <c r="A88" s="269" t="s">
        <v>353</v>
      </c>
      <c r="B88" s="253" t="s">
        <v>159</v>
      </c>
      <c r="C88" s="253" t="s">
        <v>372</v>
      </c>
      <c r="D88" s="253"/>
      <c r="E88" s="372">
        <f>E90</f>
        <v>179</v>
      </c>
      <c r="F88" s="372">
        <f>F90</f>
        <v>128.1</v>
      </c>
      <c r="G88" s="303">
        <f t="shared" si="9"/>
        <v>0.7156424581005586</v>
      </c>
    </row>
    <row r="89" spans="1:7" ht="30" customHeight="1">
      <c r="A89" s="306" t="s">
        <v>289</v>
      </c>
      <c r="B89" s="235" t="s">
        <v>159</v>
      </c>
      <c r="C89" s="235" t="s">
        <v>372</v>
      </c>
      <c r="D89" s="235" t="s">
        <v>288</v>
      </c>
      <c r="E89" s="373">
        <f>E90</f>
        <v>179</v>
      </c>
      <c r="F89" s="373">
        <f>F90</f>
        <v>128.1</v>
      </c>
      <c r="G89" s="303">
        <f t="shared" si="9"/>
        <v>0.7156424581005586</v>
      </c>
    </row>
    <row r="90" spans="1:7" ht="31.2" customHeight="1">
      <c r="A90" s="233" t="s">
        <v>266</v>
      </c>
      <c r="B90" s="235" t="s">
        <v>159</v>
      </c>
      <c r="C90" s="235" t="s">
        <v>372</v>
      </c>
      <c r="D90" s="235" t="s">
        <v>222</v>
      </c>
      <c r="E90" s="373">
        <v>179</v>
      </c>
      <c r="F90" s="373">
        <v>128.1</v>
      </c>
      <c r="G90" s="303">
        <f t="shared" si="9"/>
        <v>0.7156424581005586</v>
      </c>
    </row>
    <row r="91" spans="1:7" ht="67.2" customHeight="1">
      <c r="A91" s="254" t="s">
        <v>477</v>
      </c>
      <c r="B91" s="253" t="s">
        <v>159</v>
      </c>
      <c r="C91" s="253" t="s">
        <v>478</v>
      </c>
      <c r="D91" s="253"/>
      <c r="E91" s="372">
        <f>E92</f>
        <v>6</v>
      </c>
      <c r="F91" s="372">
        <f>F92</f>
        <v>6</v>
      </c>
      <c r="G91" s="303">
        <f t="shared" si="9"/>
        <v>1</v>
      </c>
    </row>
    <row r="92" spans="1:7" ht="26.25" customHeight="1">
      <c r="A92" s="306" t="s">
        <v>289</v>
      </c>
      <c r="B92" s="235" t="s">
        <v>159</v>
      </c>
      <c r="C92" s="235" t="s">
        <v>478</v>
      </c>
      <c r="D92" s="235" t="s">
        <v>288</v>
      </c>
      <c r="E92" s="373">
        <v>6</v>
      </c>
      <c r="F92" s="373">
        <v>6</v>
      </c>
      <c r="G92" s="303">
        <f t="shared" si="9"/>
        <v>1</v>
      </c>
    </row>
    <row r="93" spans="1:7" ht="26.25" customHeight="1">
      <c r="A93" s="233" t="s">
        <v>266</v>
      </c>
      <c r="B93" s="235" t="s">
        <v>159</v>
      </c>
      <c r="C93" s="235" t="s">
        <v>478</v>
      </c>
      <c r="D93" s="235" t="s">
        <v>222</v>
      </c>
      <c r="E93" s="373">
        <v>6</v>
      </c>
      <c r="F93" s="373">
        <v>6</v>
      </c>
      <c r="G93" s="303">
        <f t="shared" si="9"/>
        <v>1</v>
      </c>
    </row>
    <row r="94" spans="1:7" ht="45.6">
      <c r="A94" s="254" t="s">
        <v>435</v>
      </c>
      <c r="B94" s="253" t="s">
        <v>159</v>
      </c>
      <c r="C94" s="253" t="s">
        <v>436</v>
      </c>
      <c r="D94" s="253"/>
      <c r="E94" s="372">
        <f>E96</f>
        <v>12</v>
      </c>
      <c r="F94" s="372">
        <f>F96</f>
        <v>12</v>
      </c>
      <c r="G94" s="303">
        <f t="shared" si="9"/>
        <v>1</v>
      </c>
    </row>
    <row r="95" spans="1:7" ht="36.75" customHeight="1">
      <c r="A95" s="306" t="s">
        <v>289</v>
      </c>
      <c r="B95" s="235" t="s">
        <v>159</v>
      </c>
      <c r="C95" s="235" t="s">
        <v>436</v>
      </c>
      <c r="D95" s="235" t="s">
        <v>288</v>
      </c>
      <c r="E95" s="373">
        <f>E96</f>
        <v>12</v>
      </c>
      <c r="F95" s="373">
        <f>F96</f>
        <v>12</v>
      </c>
      <c r="G95" s="303">
        <f t="shared" si="9"/>
        <v>1</v>
      </c>
    </row>
    <row r="96" spans="1:7" ht="36.6" thickBot="1">
      <c r="A96" s="233" t="s">
        <v>266</v>
      </c>
      <c r="B96" s="235" t="s">
        <v>159</v>
      </c>
      <c r="C96" s="235" t="s">
        <v>436</v>
      </c>
      <c r="D96" s="235" t="s">
        <v>222</v>
      </c>
      <c r="E96" s="373">
        <v>12</v>
      </c>
      <c r="F96" s="399">
        <v>12</v>
      </c>
      <c r="G96" s="312">
        <f t="shared" si="9"/>
        <v>1</v>
      </c>
    </row>
    <row r="97" spans="1:7" ht="23.4" thickBot="1">
      <c r="A97" s="313" t="s">
        <v>33</v>
      </c>
      <c r="B97" s="258" t="s">
        <v>27</v>
      </c>
      <c r="C97" s="258"/>
      <c r="D97" s="258"/>
      <c r="E97" s="378">
        <f t="shared" ref="E97:F103" si="11">E98</f>
        <v>6.5</v>
      </c>
      <c r="F97" s="378">
        <f t="shared" si="11"/>
        <v>0</v>
      </c>
      <c r="G97" s="314">
        <f t="shared" si="9"/>
        <v>0</v>
      </c>
    </row>
    <row r="98" spans="1:7" ht="34.200000000000003">
      <c r="A98" s="315" t="s">
        <v>157</v>
      </c>
      <c r="B98" s="252" t="s">
        <v>18</v>
      </c>
      <c r="C98" s="252"/>
      <c r="D98" s="252"/>
      <c r="E98" s="371">
        <f>E102+E99</f>
        <v>6.5</v>
      </c>
      <c r="F98" s="371">
        <f>F102+F99</f>
        <v>0</v>
      </c>
      <c r="G98" s="303">
        <f t="shared" si="9"/>
        <v>0</v>
      </c>
    </row>
    <row r="99" spans="1:7" ht="79.8" hidden="1">
      <c r="A99" s="269" t="s">
        <v>437</v>
      </c>
      <c r="B99" s="253" t="s">
        <v>18</v>
      </c>
      <c r="C99" s="259" t="s">
        <v>438</v>
      </c>
      <c r="D99" s="253"/>
      <c r="E99" s="371">
        <f>E100</f>
        <v>0</v>
      </c>
      <c r="F99" s="371">
        <f>F100</f>
        <v>0</v>
      </c>
      <c r="G99" s="303" t="e">
        <f t="shared" si="9"/>
        <v>#DIV/0!</v>
      </c>
    </row>
    <row r="100" spans="1:7" ht="60" hidden="1">
      <c r="A100" s="306" t="s">
        <v>289</v>
      </c>
      <c r="B100" s="238" t="s">
        <v>18</v>
      </c>
      <c r="C100" s="238" t="s">
        <v>438</v>
      </c>
      <c r="D100" s="238" t="s">
        <v>288</v>
      </c>
      <c r="E100" s="379">
        <f>E101</f>
        <v>0</v>
      </c>
      <c r="F100" s="379">
        <f>F101</f>
        <v>0</v>
      </c>
      <c r="G100" s="303" t="e">
        <f t="shared" si="9"/>
        <v>#DIV/0!</v>
      </c>
    </row>
    <row r="101" spans="1:7" ht="36" hidden="1">
      <c r="A101" s="233" t="s">
        <v>266</v>
      </c>
      <c r="B101" s="238" t="s">
        <v>18</v>
      </c>
      <c r="C101" s="238" t="s">
        <v>438</v>
      </c>
      <c r="D101" s="238" t="s">
        <v>222</v>
      </c>
      <c r="E101" s="379">
        <v>0</v>
      </c>
      <c r="F101" s="379">
        <v>0</v>
      </c>
      <c r="G101" s="303" t="e">
        <f t="shared" si="9"/>
        <v>#DIV/0!</v>
      </c>
    </row>
    <row r="102" spans="1:7" ht="57">
      <c r="A102" s="269" t="s">
        <v>339</v>
      </c>
      <c r="B102" s="253" t="s">
        <v>18</v>
      </c>
      <c r="C102" s="259" t="s">
        <v>376</v>
      </c>
      <c r="D102" s="253"/>
      <c r="E102" s="372">
        <f t="shared" si="11"/>
        <v>6.5</v>
      </c>
      <c r="F102" s="372">
        <f t="shared" si="11"/>
        <v>0</v>
      </c>
      <c r="G102" s="303">
        <f t="shared" si="9"/>
        <v>0</v>
      </c>
    </row>
    <row r="103" spans="1:7" ht="33" customHeight="1">
      <c r="A103" s="306" t="s">
        <v>289</v>
      </c>
      <c r="B103" s="238" t="s">
        <v>18</v>
      </c>
      <c r="C103" s="238" t="s">
        <v>376</v>
      </c>
      <c r="D103" s="238" t="s">
        <v>288</v>
      </c>
      <c r="E103" s="374">
        <f t="shared" si="11"/>
        <v>6.5</v>
      </c>
      <c r="F103" s="374">
        <f t="shared" si="11"/>
        <v>0</v>
      </c>
      <c r="G103" s="303">
        <f t="shared" si="9"/>
        <v>0</v>
      </c>
    </row>
    <row r="104" spans="1:7" ht="25.5" customHeight="1" thickBot="1">
      <c r="A104" s="233" t="s">
        <v>266</v>
      </c>
      <c r="B104" s="238" t="s">
        <v>18</v>
      </c>
      <c r="C104" s="238" t="s">
        <v>376</v>
      </c>
      <c r="D104" s="238" t="s">
        <v>222</v>
      </c>
      <c r="E104" s="374">
        <v>6.5</v>
      </c>
      <c r="F104" s="399">
        <v>0</v>
      </c>
      <c r="G104" s="312">
        <f t="shared" si="9"/>
        <v>0</v>
      </c>
    </row>
    <row r="105" spans="1:7" thickBot="1">
      <c r="A105" s="316" t="s">
        <v>269</v>
      </c>
      <c r="B105" s="258" t="s">
        <v>270</v>
      </c>
      <c r="C105" s="258"/>
      <c r="D105" s="258"/>
      <c r="E105" s="378">
        <f>E106+E113+E117</f>
        <v>34887.699999999997</v>
      </c>
      <c r="F105" s="385">
        <f>F106+F113+F117</f>
        <v>28714.9</v>
      </c>
      <c r="G105" s="314">
        <f t="shared" si="9"/>
        <v>0.82306658220518991</v>
      </c>
    </row>
    <row r="106" spans="1:7" ht="23.4" thickBot="1">
      <c r="A106" s="313" t="s">
        <v>337</v>
      </c>
      <c r="B106" s="258" t="s">
        <v>334</v>
      </c>
      <c r="C106" s="258"/>
      <c r="D106" s="258"/>
      <c r="E106" s="378">
        <f>E110+E107</f>
        <v>0</v>
      </c>
      <c r="F106" s="378">
        <f>F110+F107</f>
        <v>0</v>
      </c>
      <c r="G106" s="317">
        <v>0</v>
      </c>
    </row>
    <row r="107" spans="1:7" ht="13.2">
      <c r="A107" s="254" t="s">
        <v>439</v>
      </c>
      <c r="B107" s="252" t="s">
        <v>334</v>
      </c>
      <c r="C107" s="252" t="s">
        <v>519</v>
      </c>
      <c r="D107" s="252"/>
      <c r="E107" s="380">
        <f>E108</f>
        <v>0</v>
      </c>
      <c r="F107" s="380">
        <f>F108</f>
        <v>0</v>
      </c>
      <c r="G107" s="318">
        <v>0</v>
      </c>
    </row>
    <row r="108" spans="1:7" ht="21" customHeight="1">
      <c r="A108" s="306" t="s">
        <v>336</v>
      </c>
      <c r="B108" s="235" t="s">
        <v>334</v>
      </c>
      <c r="C108" s="235" t="s">
        <v>440</v>
      </c>
      <c r="D108" s="235" t="s">
        <v>290</v>
      </c>
      <c r="E108" s="381">
        <f>E109</f>
        <v>0</v>
      </c>
      <c r="F108" s="381">
        <f>F109</f>
        <v>0</v>
      </c>
      <c r="G108" s="319">
        <v>0</v>
      </c>
    </row>
    <row r="109" spans="1:7" ht="40.5" customHeight="1" thickBot="1">
      <c r="A109" s="233" t="s">
        <v>338</v>
      </c>
      <c r="B109" s="235" t="s">
        <v>334</v>
      </c>
      <c r="C109" s="235" t="s">
        <v>440</v>
      </c>
      <c r="D109" s="235" t="s">
        <v>335</v>
      </c>
      <c r="E109" s="381">
        <v>0</v>
      </c>
      <c r="F109" s="381">
        <v>0</v>
      </c>
      <c r="G109" s="319">
        <v>0</v>
      </c>
    </row>
    <row r="110" spans="1:7" ht="27" hidden="1" customHeight="1">
      <c r="A110" s="320" t="s">
        <v>419</v>
      </c>
      <c r="B110" s="252" t="s">
        <v>334</v>
      </c>
      <c r="C110" s="252" t="s">
        <v>441</v>
      </c>
      <c r="D110" s="252"/>
      <c r="E110" s="371">
        <f t="shared" ref="E110:F111" si="12">E111</f>
        <v>0</v>
      </c>
      <c r="F110" s="371">
        <f t="shared" si="12"/>
        <v>0</v>
      </c>
      <c r="G110" s="303" t="e">
        <f t="shared" si="9"/>
        <v>#DIV/0!</v>
      </c>
    </row>
    <row r="111" spans="1:7" ht="26.25" hidden="1" customHeight="1">
      <c r="A111" s="306" t="s">
        <v>336</v>
      </c>
      <c r="B111" s="235" t="s">
        <v>334</v>
      </c>
      <c r="C111" s="235" t="s">
        <v>441</v>
      </c>
      <c r="D111" s="235" t="s">
        <v>290</v>
      </c>
      <c r="E111" s="373">
        <f t="shared" si="12"/>
        <v>0</v>
      </c>
      <c r="F111" s="373">
        <f t="shared" si="12"/>
        <v>0</v>
      </c>
      <c r="G111" s="303" t="e">
        <f t="shared" si="9"/>
        <v>#DIV/0!</v>
      </c>
    </row>
    <row r="112" spans="1:7" ht="35.25" hidden="1" customHeight="1" thickBot="1">
      <c r="A112" s="233" t="s">
        <v>338</v>
      </c>
      <c r="B112" s="235" t="s">
        <v>334</v>
      </c>
      <c r="C112" s="235" t="s">
        <v>441</v>
      </c>
      <c r="D112" s="235" t="s">
        <v>335</v>
      </c>
      <c r="E112" s="373">
        <v>0</v>
      </c>
      <c r="F112" s="373">
        <v>0</v>
      </c>
      <c r="G112" s="312" t="e">
        <f t="shared" si="9"/>
        <v>#DIV/0!</v>
      </c>
    </row>
    <row r="113" spans="1:7" ht="24" customHeight="1" thickBot="1">
      <c r="A113" s="313" t="s">
        <v>196</v>
      </c>
      <c r="B113" s="258" t="s">
        <v>195</v>
      </c>
      <c r="C113" s="258"/>
      <c r="D113" s="258"/>
      <c r="E113" s="378">
        <f>E114</f>
        <v>34887.699999999997</v>
      </c>
      <c r="F113" s="378">
        <f>F114</f>
        <v>28714.9</v>
      </c>
      <c r="G113" s="314">
        <f t="shared" si="9"/>
        <v>0.82306658220518991</v>
      </c>
    </row>
    <row r="114" spans="1:7" ht="22.8">
      <c r="A114" s="320" t="s">
        <v>226</v>
      </c>
      <c r="B114" s="252" t="s">
        <v>195</v>
      </c>
      <c r="C114" s="253" t="s">
        <v>377</v>
      </c>
      <c r="D114" s="252"/>
      <c r="E114" s="371">
        <f>E116</f>
        <v>34887.699999999997</v>
      </c>
      <c r="F114" s="371">
        <f>F116</f>
        <v>28714.9</v>
      </c>
      <c r="G114" s="303">
        <f t="shared" si="9"/>
        <v>0.82306658220518991</v>
      </c>
    </row>
    <row r="115" spans="1:7" ht="60">
      <c r="A115" s="306" t="s">
        <v>289</v>
      </c>
      <c r="B115" s="235" t="s">
        <v>195</v>
      </c>
      <c r="C115" s="235" t="s">
        <v>377</v>
      </c>
      <c r="D115" s="235" t="s">
        <v>288</v>
      </c>
      <c r="E115" s="373">
        <f>E116</f>
        <v>34887.699999999997</v>
      </c>
      <c r="F115" s="373">
        <f>F116</f>
        <v>28714.9</v>
      </c>
      <c r="G115" s="303">
        <f t="shared" si="9"/>
        <v>0.82306658220518991</v>
      </c>
    </row>
    <row r="116" spans="1:7" ht="36.6" thickBot="1">
      <c r="A116" s="233" t="s">
        <v>266</v>
      </c>
      <c r="B116" s="235" t="s">
        <v>195</v>
      </c>
      <c r="C116" s="235" t="s">
        <v>377</v>
      </c>
      <c r="D116" s="235" t="s">
        <v>222</v>
      </c>
      <c r="E116" s="373">
        <v>34887.699999999997</v>
      </c>
      <c r="F116" s="373">
        <v>28714.9</v>
      </c>
      <c r="G116" s="312">
        <f t="shared" si="9"/>
        <v>0.82306658220518991</v>
      </c>
    </row>
    <row r="117" spans="1:7" ht="23.4" thickBot="1">
      <c r="A117" s="313" t="s">
        <v>350</v>
      </c>
      <c r="B117" s="258" t="s">
        <v>349</v>
      </c>
      <c r="C117" s="258"/>
      <c r="D117" s="258"/>
      <c r="E117" s="378">
        <f t="shared" ref="E117:F119" si="13">E118</f>
        <v>0</v>
      </c>
      <c r="F117" s="378">
        <f t="shared" si="13"/>
        <v>0</v>
      </c>
      <c r="G117" s="314">
        <v>0</v>
      </c>
    </row>
    <row r="118" spans="1:7" ht="22.8">
      <c r="A118" s="320" t="s">
        <v>351</v>
      </c>
      <c r="B118" s="252" t="s">
        <v>349</v>
      </c>
      <c r="C118" s="253" t="s">
        <v>378</v>
      </c>
      <c r="D118" s="252"/>
      <c r="E118" s="371">
        <f t="shared" si="13"/>
        <v>0</v>
      </c>
      <c r="F118" s="371">
        <f t="shared" si="13"/>
        <v>0</v>
      </c>
      <c r="G118" s="303">
        <v>0</v>
      </c>
    </row>
    <row r="119" spans="1:7" ht="32.25" customHeight="1">
      <c r="A119" s="306" t="s">
        <v>289</v>
      </c>
      <c r="B119" s="235" t="s">
        <v>349</v>
      </c>
      <c r="C119" s="235" t="s">
        <v>378</v>
      </c>
      <c r="D119" s="235" t="s">
        <v>288</v>
      </c>
      <c r="E119" s="373">
        <f t="shared" si="13"/>
        <v>0</v>
      </c>
      <c r="F119" s="373">
        <f t="shared" si="13"/>
        <v>0</v>
      </c>
      <c r="G119" s="303">
        <v>0</v>
      </c>
    </row>
    <row r="120" spans="1:7" ht="23.25" customHeight="1" thickBot="1">
      <c r="A120" s="233" t="s">
        <v>266</v>
      </c>
      <c r="B120" s="235" t="s">
        <v>349</v>
      </c>
      <c r="C120" s="235" t="s">
        <v>378</v>
      </c>
      <c r="D120" s="235" t="s">
        <v>222</v>
      </c>
      <c r="E120" s="373">
        <v>0</v>
      </c>
      <c r="F120" s="373">
        <v>0</v>
      </c>
      <c r="G120" s="312">
        <v>0</v>
      </c>
    </row>
    <row r="121" spans="1:7" ht="16.8" customHeight="1" thickBot="1">
      <c r="A121" s="313" t="s">
        <v>28</v>
      </c>
      <c r="B121" s="258" t="s">
        <v>29</v>
      </c>
      <c r="C121" s="258"/>
      <c r="D121" s="258"/>
      <c r="E121" s="378">
        <f>E122</f>
        <v>62699.7</v>
      </c>
      <c r="F121" s="378">
        <f>F122</f>
        <v>46122.1</v>
      </c>
      <c r="G121" s="314">
        <f t="shared" si="9"/>
        <v>0.73560320065327267</v>
      </c>
    </row>
    <row r="122" spans="1:7" ht="30" customHeight="1" thickBot="1">
      <c r="A122" s="321" t="s">
        <v>278</v>
      </c>
      <c r="B122" s="258" t="s">
        <v>67</v>
      </c>
      <c r="C122" s="258"/>
      <c r="D122" s="258"/>
      <c r="E122" s="378">
        <f>E123+E133+E143+E156</f>
        <v>62699.7</v>
      </c>
      <c r="F122" s="378">
        <f>F123+F133+F143+F156</f>
        <v>46122.1</v>
      </c>
      <c r="G122" s="314">
        <f t="shared" si="9"/>
        <v>0.73560320065327267</v>
      </c>
    </row>
    <row r="123" spans="1:7" ht="28.2" customHeight="1" thickBot="1">
      <c r="A123" s="322" t="s">
        <v>341</v>
      </c>
      <c r="B123" s="258" t="s">
        <v>67</v>
      </c>
      <c r="C123" s="258" t="s">
        <v>379</v>
      </c>
      <c r="D123" s="258"/>
      <c r="E123" s="378">
        <f>E124+E127+E130</f>
        <v>13670.3</v>
      </c>
      <c r="F123" s="378">
        <f>F124+F127+F130</f>
        <v>8356.4</v>
      </c>
      <c r="G123" s="314">
        <f t="shared" si="9"/>
        <v>0.61128139104481982</v>
      </c>
    </row>
    <row r="124" spans="1:7" ht="34.200000000000003">
      <c r="A124" s="323" t="s">
        <v>227</v>
      </c>
      <c r="B124" s="252" t="s">
        <v>67</v>
      </c>
      <c r="C124" s="268" t="s">
        <v>380</v>
      </c>
      <c r="D124" s="252"/>
      <c r="E124" s="372">
        <f t="shared" ref="E124:F125" si="14">E125</f>
        <v>3525.4</v>
      </c>
      <c r="F124" s="372">
        <f t="shared" si="14"/>
        <v>2360.9</v>
      </c>
      <c r="G124" s="303">
        <f t="shared" si="9"/>
        <v>0.66968287286549044</v>
      </c>
    </row>
    <row r="125" spans="1:7" ht="21" customHeight="1">
      <c r="A125" s="306" t="s">
        <v>289</v>
      </c>
      <c r="B125" s="235" t="s">
        <v>67</v>
      </c>
      <c r="C125" s="235" t="s">
        <v>380</v>
      </c>
      <c r="D125" s="235" t="s">
        <v>288</v>
      </c>
      <c r="E125" s="373">
        <f t="shared" si="14"/>
        <v>3525.4</v>
      </c>
      <c r="F125" s="373">
        <f t="shared" si="14"/>
        <v>2360.9</v>
      </c>
      <c r="G125" s="303">
        <f t="shared" si="9"/>
        <v>0.66968287286549044</v>
      </c>
    </row>
    <row r="126" spans="1:7" ht="27.75" customHeight="1">
      <c r="A126" s="233" t="s">
        <v>266</v>
      </c>
      <c r="B126" s="235" t="s">
        <v>67</v>
      </c>
      <c r="C126" s="235" t="s">
        <v>380</v>
      </c>
      <c r="D126" s="235" t="s">
        <v>222</v>
      </c>
      <c r="E126" s="373">
        <v>3525.4</v>
      </c>
      <c r="F126" s="373">
        <v>2360.9</v>
      </c>
      <c r="G126" s="303">
        <f t="shared" si="9"/>
        <v>0.66968287286549044</v>
      </c>
    </row>
    <row r="127" spans="1:7" ht="27.75" customHeight="1">
      <c r="A127" s="324" t="s">
        <v>442</v>
      </c>
      <c r="B127" s="272" t="s">
        <v>67</v>
      </c>
      <c r="C127" s="235" t="s">
        <v>443</v>
      </c>
      <c r="D127" s="272"/>
      <c r="E127" s="382">
        <f>E128</f>
        <v>4759.8999999999996</v>
      </c>
      <c r="F127" s="382">
        <f>F128</f>
        <v>4428.5</v>
      </c>
      <c r="G127" s="303">
        <f t="shared" si="9"/>
        <v>0.93037668858589473</v>
      </c>
    </row>
    <row r="128" spans="1:7" ht="27.75" customHeight="1">
      <c r="A128" s="306" t="s">
        <v>289</v>
      </c>
      <c r="B128" s="272" t="s">
        <v>67</v>
      </c>
      <c r="C128" s="235" t="s">
        <v>443</v>
      </c>
      <c r="D128" s="272" t="s">
        <v>288</v>
      </c>
      <c r="E128" s="381">
        <f>E129</f>
        <v>4759.8999999999996</v>
      </c>
      <c r="F128" s="381">
        <f>F129</f>
        <v>4428.5</v>
      </c>
      <c r="G128" s="303">
        <f t="shared" si="9"/>
        <v>0.93037668858589473</v>
      </c>
    </row>
    <row r="129" spans="1:7" ht="27.75" customHeight="1" thickBot="1">
      <c r="A129" s="329" t="s">
        <v>266</v>
      </c>
      <c r="B129" s="273" t="s">
        <v>67</v>
      </c>
      <c r="C129" s="238" t="s">
        <v>443</v>
      </c>
      <c r="D129" s="273" t="s">
        <v>222</v>
      </c>
      <c r="E129" s="383">
        <v>4759.8999999999996</v>
      </c>
      <c r="F129" s="400">
        <v>4428.5</v>
      </c>
      <c r="G129" s="312">
        <f t="shared" si="9"/>
        <v>0.93037668858589473</v>
      </c>
    </row>
    <row r="130" spans="1:7" s="347" customFormat="1" ht="27.75" customHeight="1" thickBot="1">
      <c r="A130" s="255" t="s">
        <v>460</v>
      </c>
      <c r="B130" s="271" t="s">
        <v>67</v>
      </c>
      <c r="C130" s="259" t="s">
        <v>459</v>
      </c>
      <c r="D130" s="271"/>
      <c r="E130" s="382">
        <f>E131</f>
        <v>5385</v>
      </c>
      <c r="F130" s="385">
        <f>F131</f>
        <v>1567</v>
      </c>
      <c r="G130" s="312">
        <f t="shared" si="9"/>
        <v>0.29099350046425254</v>
      </c>
    </row>
    <row r="131" spans="1:7" ht="27.75" customHeight="1" thickBot="1">
      <c r="A131" s="306" t="s">
        <v>289</v>
      </c>
      <c r="B131" s="272" t="s">
        <v>67</v>
      </c>
      <c r="C131" s="238" t="s">
        <v>459</v>
      </c>
      <c r="D131" s="272" t="s">
        <v>288</v>
      </c>
      <c r="E131" s="384">
        <f>E132</f>
        <v>5385</v>
      </c>
      <c r="F131" s="384">
        <f>F132</f>
        <v>1567</v>
      </c>
      <c r="G131" s="312">
        <f t="shared" si="9"/>
        <v>0.29099350046425254</v>
      </c>
    </row>
    <row r="132" spans="1:7" ht="27.75" customHeight="1" thickBot="1">
      <c r="A132" s="234" t="s">
        <v>266</v>
      </c>
      <c r="B132" s="272" t="s">
        <v>67</v>
      </c>
      <c r="C132" s="235" t="s">
        <v>459</v>
      </c>
      <c r="D132" s="272" t="s">
        <v>222</v>
      </c>
      <c r="E132" s="384">
        <v>5385</v>
      </c>
      <c r="F132" s="384">
        <v>1567</v>
      </c>
      <c r="G132" s="312">
        <f t="shared" si="9"/>
        <v>0.29099350046425254</v>
      </c>
    </row>
    <row r="133" spans="1:7" ht="34.799999999999997" thickBot="1">
      <c r="A133" s="256" t="s">
        <v>228</v>
      </c>
      <c r="B133" s="253" t="s">
        <v>67</v>
      </c>
      <c r="C133" s="253" t="s">
        <v>381</v>
      </c>
      <c r="D133" s="253"/>
      <c r="E133" s="385">
        <f>E134+E137+E140</f>
        <v>12790</v>
      </c>
      <c r="F133" s="378">
        <f>F134+F137+F140</f>
        <v>11252.5</v>
      </c>
      <c r="G133" s="314">
        <f t="shared" si="9"/>
        <v>0.87978889757623147</v>
      </c>
    </row>
    <row r="134" spans="1:7" ht="25.2" customHeight="1">
      <c r="A134" s="357" t="s">
        <v>229</v>
      </c>
      <c r="B134" s="358" t="s">
        <v>67</v>
      </c>
      <c r="C134" s="252" t="s">
        <v>382</v>
      </c>
      <c r="D134" s="358"/>
      <c r="E134" s="386">
        <f>E135</f>
        <v>640</v>
      </c>
      <c r="F134" s="401">
        <f>F135</f>
        <v>640</v>
      </c>
      <c r="G134" s="303">
        <f t="shared" si="9"/>
        <v>1</v>
      </c>
    </row>
    <row r="135" spans="1:7" ht="27.75" customHeight="1">
      <c r="A135" s="306" t="s">
        <v>289</v>
      </c>
      <c r="B135" s="272" t="s">
        <v>67</v>
      </c>
      <c r="C135" s="235" t="s">
        <v>382</v>
      </c>
      <c r="D135" s="272" t="s">
        <v>288</v>
      </c>
      <c r="E135" s="373">
        <f>E136</f>
        <v>640</v>
      </c>
      <c r="F135" s="373">
        <f>F136</f>
        <v>640</v>
      </c>
      <c r="G135" s="303">
        <f t="shared" si="9"/>
        <v>1</v>
      </c>
    </row>
    <row r="136" spans="1:7" ht="29.25" customHeight="1">
      <c r="A136" s="233" t="s">
        <v>266</v>
      </c>
      <c r="B136" s="272" t="s">
        <v>67</v>
      </c>
      <c r="C136" s="237" t="s">
        <v>382</v>
      </c>
      <c r="D136" s="272" t="s">
        <v>222</v>
      </c>
      <c r="E136" s="373">
        <v>640</v>
      </c>
      <c r="F136" s="373">
        <v>640</v>
      </c>
      <c r="G136" s="303">
        <f t="shared" si="9"/>
        <v>1</v>
      </c>
    </row>
    <row r="137" spans="1:7" ht="22.8">
      <c r="A137" s="325" t="s">
        <v>68</v>
      </c>
      <c r="B137" s="271" t="s">
        <v>67</v>
      </c>
      <c r="C137" s="252" t="s">
        <v>383</v>
      </c>
      <c r="D137" s="271"/>
      <c r="E137" s="386">
        <f>E138</f>
        <v>0</v>
      </c>
      <c r="F137" s="386">
        <f>F138</f>
        <v>0</v>
      </c>
      <c r="G137" s="303">
        <v>0</v>
      </c>
    </row>
    <row r="138" spans="1:7" ht="24" customHeight="1">
      <c r="A138" s="306" t="s">
        <v>289</v>
      </c>
      <c r="B138" s="272" t="s">
        <v>67</v>
      </c>
      <c r="C138" s="237" t="s">
        <v>383</v>
      </c>
      <c r="D138" s="272" t="s">
        <v>288</v>
      </c>
      <c r="E138" s="387">
        <f>E139</f>
        <v>0</v>
      </c>
      <c r="F138" s="387">
        <v>0</v>
      </c>
      <c r="G138" s="303">
        <v>0</v>
      </c>
    </row>
    <row r="139" spans="1:7" ht="27.75" customHeight="1">
      <c r="A139" s="233" t="s">
        <v>266</v>
      </c>
      <c r="B139" s="272" t="s">
        <v>67</v>
      </c>
      <c r="C139" s="237" t="s">
        <v>383</v>
      </c>
      <c r="D139" s="272" t="s">
        <v>222</v>
      </c>
      <c r="E139" s="387">
        <v>0</v>
      </c>
      <c r="F139" s="387">
        <v>0</v>
      </c>
      <c r="G139" s="303">
        <v>0</v>
      </c>
    </row>
    <row r="140" spans="1:7" ht="13.2">
      <c r="A140" s="326" t="s">
        <v>230</v>
      </c>
      <c r="B140" s="271" t="s">
        <v>67</v>
      </c>
      <c r="C140" s="252" t="s">
        <v>384</v>
      </c>
      <c r="D140" s="271"/>
      <c r="E140" s="386">
        <f>E142</f>
        <v>12150</v>
      </c>
      <c r="F140" s="386">
        <f>F142</f>
        <v>10612.5</v>
      </c>
      <c r="G140" s="303">
        <f t="shared" ref="G140:G171" si="15">F140/E140</f>
        <v>0.87345679012345678</v>
      </c>
    </row>
    <row r="141" spans="1:7" ht="25.95" customHeight="1">
      <c r="A141" s="306" t="s">
        <v>289</v>
      </c>
      <c r="B141" s="273" t="s">
        <v>67</v>
      </c>
      <c r="C141" s="237" t="s">
        <v>384</v>
      </c>
      <c r="D141" s="272" t="s">
        <v>288</v>
      </c>
      <c r="E141" s="373">
        <f>E142</f>
        <v>12150</v>
      </c>
      <c r="F141" s="373">
        <f>F142</f>
        <v>10612.5</v>
      </c>
      <c r="G141" s="303">
        <f t="shared" si="15"/>
        <v>0.87345679012345678</v>
      </c>
    </row>
    <row r="142" spans="1:7" ht="25.5" customHeight="1">
      <c r="A142" s="234" t="s">
        <v>266</v>
      </c>
      <c r="B142" s="272" t="s">
        <v>67</v>
      </c>
      <c r="C142" s="235" t="s">
        <v>384</v>
      </c>
      <c r="D142" s="273" t="s">
        <v>222</v>
      </c>
      <c r="E142" s="374">
        <v>12150</v>
      </c>
      <c r="F142" s="374">
        <v>10612.5</v>
      </c>
      <c r="G142" s="352">
        <f t="shared" si="15"/>
        <v>0.87345679012345678</v>
      </c>
    </row>
    <row r="143" spans="1:7" ht="13.2">
      <c r="A143" s="350" t="s">
        <v>231</v>
      </c>
      <c r="B143" s="351" t="s">
        <v>67</v>
      </c>
      <c r="C143" s="252" t="s">
        <v>387</v>
      </c>
      <c r="D143" s="253"/>
      <c r="E143" s="382">
        <f>E150+E153</f>
        <v>10400</v>
      </c>
      <c r="F143" s="382">
        <f>F150+F153</f>
        <v>8553.6</v>
      </c>
      <c r="G143" s="352">
        <f t="shared" si="15"/>
        <v>0.82246153846153847</v>
      </c>
    </row>
    <row r="144" spans="1:7" ht="22.8" hidden="1">
      <c r="A144" s="324" t="s">
        <v>232</v>
      </c>
      <c r="B144" s="353" t="s">
        <v>67</v>
      </c>
      <c r="C144" s="253" t="s">
        <v>462</v>
      </c>
      <c r="D144" s="271"/>
      <c r="E144" s="388" t="e">
        <f t="shared" ref="E144:F144" si="16">E146</f>
        <v>#REF!</v>
      </c>
      <c r="F144" s="388" t="e">
        <f t="shared" si="16"/>
        <v>#REF!</v>
      </c>
      <c r="G144" s="352" t="e">
        <f t="shared" si="15"/>
        <v>#REF!</v>
      </c>
    </row>
    <row r="145" spans="1:7" ht="33" hidden="1" customHeight="1">
      <c r="A145" s="306" t="s">
        <v>289</v>
      </c>
      <c r="B145" s="354" t="s">
        <v>67</v>
      </c>
      <c r="C145" s="253" t="s">
        <v>463</v>
      </c>
      <c r="D145" s="272" t="s">
        <v>288</v>
      </c>
      <c r="E145" s="381" t="e">
        <f>E146</f>
        <v>#REF!</v>
      </c>
      <c r="F145" s="381" t="e">
        <f>F146</f>
        <v>#REF!</v>
      </c>
      <c r="G145" s="352" t="e">
        <f t="shared" si="15"/>
        <v>#REF!</v>
      </c>
    </row>
    <row r="146" spans="1:7" ht="24.75" hidden="1" customHeight="1">
      <c r="A146" s="233" t="s">
        <v>266</v>
      </c>
      <c r="B146" s="354" t="s">
        <v>67</v>
      </c>
      <c r="C146" s="253" t="s">
        <v>464</v>
      </c>
      <c r="D146" s="272" t="s">
        <v>222</v>
      </c>
      <c r="E146" s="381" t="e">
        <f>#REF!</f>
        <v>#REF!</v>
      </c>
      <c r="F146" s="381" t="e">
        <f>#REF!</f>
        <v>#REF!</v>
      </c>
      <c r="G146" s="352" t="e">
        <f t="shared" si="15"/>
        <v>#REF!</v>
      </c>
    </row>
    <row r="147" spans="1:7" ht="22.8" hidden="1">
      <c r="A147" s="328" t="s">
        <v>342</v>
      </c>
      <c r="B147" s="355" t="s">
        <v>67</v>
      </c>
      <c r="C147" s="253" t="s">
        <v>465</v>
      </c>
      <c r="D147" s="271"/>
      <c r="E147" s="388" t="e">
        <f>E149</f>
        <v>#REF!</v>
      </c>
      <c r="F147" s="388" t="e">
        <f>F149</f>
        <v>#REF!</v>
      </c>
      <c r="G147" s="352" t="e">
        <f t="shared" si="15"/>
        <v>#REF!</v>
      </c>
    </row>
    <row r="148" spans="1:7" ht="22.5" hidden="1" customHeight="1">
      <c r="A148" s="306" t="s">
        <v>289</v>
      </c>
      <c r="B148" s="356" t="s">
        <v>67</v>
      </c>
      <c r="C148" s="253" t="s">
        <v>466</v>
      </c>
      <c r="D148" s="272" t="s">
        <v>288</v>
      </c>
      <c r="E148" s="381" t="e">
        <f>E149</f>
        <v>#REF!</v>
      </c>
      <c r="F148" s="381" t="e">
        <f>F149</f>
        <v>#REF!</v>
      </c>
      <c r="G148" s="352" t="e">
        <f t="shared" si="15"/>
        <v>#REF!</v>
      </c>
    </row>
    <row r="149" spans="1:7" ht="27.75" hidden="1" customHeight="1">
      <c r="A149" s="233" t="s">
        <v>266</v>
      </c>
      <c r="B149" s="356" t="s">
        <v>67</v>
      </c>
      <c r="C149" s="253" t="s">
        <v>467</v>
      </c>
      <c r="D149" s="272" t="s">
        <v>222</v>
      </c>
      <c r="E149" s="381" t="e">
        <f>#REF!</f>
        <v>#REF!</v>
      </c>
      <c r="F149" s="381" t="e">
        <f>#REF!</f>
        <v>#REF!</v>
      </c>
      <c r="G149" s="352" t="e">
        <f t="shared" si="15"/>
        <v>#REF!</v>
      </c>
    </row>
    <row r="150" spans="1:7" ht="27.75" customHeight="1">
      <c r="A150" s="255" t="s">
        <v>461</v>
      </c>
      <c r="B150" s="355" t="s">
        <v>67</v>
      </c>
      <c r="C150" s="253" t="s">
        <v>385</v>
      </c>
      <c r="D150" s="272"/>
      <c r="E150" s="382">
        <f>E151</f>
        <v>8553.7999999999993</v>
      </c>
      <c r="F150" s="382">
        <f>F151</f>
        <v>8553.6</v>
      </c>
      <c r="G150" s="352">
        <f t="shared" si="15"/>
        <v>0.99997661857887732</v>
      </c>
    </row>
    <row r="151" spans="1:7" ht="27.75" customHeight="1">
      <c r="A151" s="306" t="s">
        <v>289</v>
      </c>
      <c r="B151" s="356" t="s">
        <v>67</v>
      </c>
      <c r="C151" s="235" t="s">
        <v>385</v>
      </c>
      <c r="D151" s="272" t="s">
        <v>288</v>
      </c>
      <c r="E151" s="381">
        <f>E152</f>
        <v>8553.7999999999993</v>
      </c>
      <c r="F151" s="381">
        <f>F152</f>
        <v>8553.6</v>
      </c>
      <c r="G151" s="352">
        <f t="shared" si="15"/>
        <v>0.99997661857887732</v>
      </c>
    </row>
    <row r="152" spans="1:7" ht="27.75" customHeight="1">
      <c r="A152" s="234" t="s">
        <v>266</v>
      </c>
      <c r="B152" s="273" t="s">
        <v>67</v>
      </c>
      <c r="C152" s="235" t="s">
        <v>385</v>
      </c>
      <c r="D152" s="273" t="s">
        <v>222</v>
      </c>
      <c r="E152" s="374">
        <v>8553.7999999999993</v>
      </c>
      <c r="F152" s="374">
        <v>8553.6</v>
      </c>
      <c r="G152" s="352">
        <f t="shared" si="15"/>
        <v>0.99997661857887732</v>
      </c>
    </row>
    <row r="153" spans="1:7" ht="34.200000000000003">
      <c r="A153" s="328" t="s">
        <v>359</v>
      </c>
      <c r="B153" s="274" t="s">
        <v>67</v>
      </c>
      <c r="C153" s="252" t="s">
        <v>386</v>
      </c>
      <c r="D153" s="274"/>
      <c r="E153" s="389">
        <f>E155</f>
        <v>1846.2</v>
      </c>
      <c r="F153" s="389">
        <f>F155</f>
        <v>0</v>
      </c>
      <c r="G153" s="303">
        <f t="shared" si="15"/>
        <v>0</v>
      </c>
    </row>
    <row r="154" spans="1:7" ht="31.5" customHeight="1">
      <c r="A154" s="306" t="s">
        <v>289</v>
      </c>
      <c r="B154" s="273" t="s">
        <v>67</v>
      </c>
      <c r="C154" s="237" t="s">
        <v>386</v>
      </c>
      <c r="D154" s="273" t="s">
        <v>288</v>
      </c>
      <c r="E154" s="373">
        <f>E155</f>
        <v>1846.2</v>
      </c>
      <c r="F154" s="373">
        <f>F155</f>
        <v>0</v>
      </c>
      <c r="G154" s="303">
        <f t="shared" si="15"/>
        <v>0</v>
      </c>
    </row>
    <row r="155" spans="1:7" ht="27" customHeight="1" thickBot="1">
      <c r="A155" s="233" t="s">
        <v>266</v>
      </c>
      <c r="B155" s="273" t="s">
        <v>67</v>
      </c>
      <c r="C155" s="264" t="s">
        <v>386</v>
      </c>
      <c r="D155" s="273" t="s">
        <v>222</v>
      </c>
      <c r="E155" s="373">
        <v>1846.2</v>
      </c>
      <c r="F155" s="373">
        <v>0</v>
      </c>
      <c r="G155" s="312">
        <f t="shared" si="15"/>
        <v>0</v>
      </c>
    </row>
    <row r="156" spans="1:7" ht="13.2">
      <c r="A156" s="327" t="s">
        <v>233</v>
      </c>
      <c r="B156" s="266" t="s">
        <v>67</v>
      </c>
      <c r="C156" s="267" t="s">
        <v>391</v>
      </c>
      <c r="D156" s="266"/>
      <c r="E156" s="390">
        <f>E157+E160+E163+E168</f>
        <v>25839.399999999998</v>
      </c>
      <c r="F156" s="390">
        <f>F157+F160+F163+F168</f>
        <v>17959.599999999999</v>
      </c>
      <c r="G156" s="303">
        <f t="shared" si="15"/>
        <v>0.695047098616841</v>
      </c>
    </row>
    <row r="157" spans="1:7" ht="22.8">
      <c r="A157" s="324" t="s">
        <v>343</v>
      </c>
      <c r="B157" s="271" t="s">
        <v>67</v>
      </c>
      <c r="C157" s="253" t="s">
        <v>388</v>
      </c>
      <c r="D157" s="271"/>
      <c r="E157" s="372">
        <f>E159</f>
        <v>6723.8</v>
      </c>
      <c r="F157" s="372">
        <f>F159</f>
        <v>3470.2</v>
      </c>
      <c r="G157" s="303">
        <f t="shared" si="15"/>
        <v>0.51610696332431061</v>
      </c>
    </row>
    <row r="158" spans="1:7" ht="28.5" customHeight="1">
      <c r="A158" s="306" t="s">
        <v>289</v>
      </c>
      <c r="B158" s="272" t="s">
        <v>67</v>
      </c>
      <c r="C158" s="237" t="s">
        <v>388</v>
      </c>
      <c r="D158" s="272" t="s">
        <v>288</v>
      </c>
      <c r="E158" s="373">
        <f>E159</f>
        <v>6723.8</v>
      </c>
      <c r="F158" s="373">
        <f>F159</f>
        <v>3470.2</v>
      </c>
      <c r="G158" s="303">
        <f t="shared" si="15"/>
        <v>0.51610696332431061</v>
      </c>
    </row>
    <row r="159" spans="1:7" ht="28.5" customHeight="1">
      <c r="A159" s="233" t="s">
        <v>266</v>
      </c>
      <c r="B159" s="272" t="s">
        <v>67</v>
      </c>
      <c r="C159" s="237" t="s">
        <v>388</v>
      </c>
      <c r="D159" s="272" t="s">
        <v>222</v>
      </c>
      <c r="E159" s="373">
        <v>6723.8</v>
      </c>
      <c r="F159" s="373">
        <v>3470.2</v>
      </c>
      <c r="G159" s="303">
        <f t="shared" si="15"/>
        <v>0.51610696332431061</v>
      </c>
    </row>
    <row r="160" spans="1:7" ht="22.8">
      <c r="A160" s="324" t="s">
        <v>344</v>
      </c>
      <c r="B160" s="271" t="s">
        <v>67</v>
      </c>
      <c r="C160" s="252" t="s">
        <v>389</v>
      </c>
      <c r="D160" s="271"/>
      <c r="E160" s="372">
        <f>E162</f>
        <v>11266.3</v>
      </c>
      <c r="F160" s="372">
        <f>F162</f>
        <v>8571</v>
      </c>
      <c r="G160" s="303">
        <f t="shared" si="15"/>
        <v>0.76076440357526431</v>
      </c>
    </row>
    <row r="161" spans="1:7" ht="30.75" customHeight="1">
      <c r="A161" s="306" t="s">
        <v>289</v>
      </c>
      <c r="B161" s="272" t="s">
        <v>67</v>
      </c>
      <c r="C161" s="237" t="s">
        <v>389</v>
      </c>
      <c r="D161" s="272" t="s">
        <v>288</v>
      </c>
      <c r="E161" s="373">
        <f>E162</f>
        <v>11266.3</v>
      </c>
      <c r="F161" s="373">
        <f>F162</f>
        <v>8571</v>
      </c>
      <c r="G161" s="303">
        <f t="shared" si="15"/>
        <v>0.76076440357526431</v>
      </c>
    </row>
    <row r="162" spans="1:7" ht="25.5" customHeight="1">
      <c r="A162" s="233" t="s">
        <v>266</v>
      </c>
      <c r="B162" s="272" t="s">
        <v>67</v>
      </c>
      <c r="C162" s="237" t="s">
        <v>389</v>
      </c>
      <c r="D162" s="272" t="s">
        <v>222</v>
      </c>
      <c r="E162" s="373">
        <v>11266.3</v>
      </c>
      <c r="F162" s="373">
        <v>8571</v>
      </c>
      <c r="G162" s="303">
        <f t="shared" si="15"/>
        <v>0.76076440357526431</v>
      </c>
    </row>
    <row r="163" spans="1:7" ht="22.8">
      <c r="A163" s="324" t="s">
        <v>69</v>
      </c>
      <c r="B163" s="271" t="s">
        <v>67</v>
      </c>
      <c r="C163" s="252" t="s">
        <v>390</v>
      </c>
      <c r="D163" s="271"/>
      <c r="E163" s="372">
        <f>E164+E166+E167</f>
        <v>7169.7</v>
      </c>
      <c r="F163" s="372">
        <f>F165</f>
        <v>5547.8</v>
      </c>
      <c r="G163" s="303">
        <f t="shared" si="15"/>
        <v>0.77378411927974677</v>
      </c>
    </row>
    <row r="164" spans="1:7" ht="30.6" customHeight="1">
      <c r="A164" s="306" t="s">
        <v>289</v>
      </c>
      <c r="B164" s="273" t="s">
        <v>67</v>
      </c>
      <c r="C164" s="237" t="s">
        <v>390</v>
      </c>
      <c r="D164" s="272" t="s">
        <v>288</v>
      </c>
      <c r="E164" s="374">
        <f>E165</f>
        <v>1409.2</v>
      </c>
      <c r="F164" s="374">
        <f>F165</f>
        <v>5547.8</v>
      </c>
      <c r="G164" s="303">
        <f t="shared" si="15"/>
        <v>3.9368435992052229</v>
      </c>
    </row>
    <row r="165" spans="1:7" ht="32.4" customHeight="1">
      <c r="A165" s="329" t="s">
        <v>266</v>
      </c>
      <c r="B165" s="273" t="s">
        <v>67</v>
      </c>
      <c r="C165" s="264" t="s">
        <v>390</v>
      </c>
      <c r="D165" s="273" t="s">
        <v>222</v>
      </c>
      <c r="E165" s="374">
        <v>1409.2</v>
      </c>
      <c r="F165" s="374">
        <v>5547.8</v>
      </c>
      <c r="G165" s="334">
        <f t="shared" si="15"/>
        <v>3.9368435992052229</v>
      </c>
    </row>
    <row r="166" spans="1:7" ht="32.4" customHeight="1">
      <c r="A166" s="302" t="s">
        <v>526</v>
      </c>
      <c r="B166" s="273" t="s">
        <v>67</v>
      </c>
      <c r="C166" s="264" t="s">
        <v>390</v>
      </c>
      <c r="D166" s="273" t="s">
        <v>295</v>
      </c>
      <c r="E166" s="374">
        <v>5660.5</v>
      </c>
      <c r="F166" s="374">
        <v>0</v>
      </c>
      <c r="G166" s="334">
        <f t="shared" si="15"/>
        <v>0</v>
      </c>
    </row>
    <row r="167" spans="1:7" ht="24" customHeight="1">
      <c r="A167" s="302" t="s">
        <v>528</v>
      </c>
      <c r="B167" s="273" t="s">
        <v>67</v>
      </c>
      <c r="C167" s="264" t="s">
        <v>390</v>
      </c>
      <c r="D167" s="273" t="s">
        <v>527</v>
      </c>
      <c r="E167" s="374">
        <v>100</v>
      </c>
      <c r="F167" s="374">
        <v>0</v>
      </c>
      <c r="G167" s="334">
        <f t="shared" si="15"/>
        <v>0</v>
      </c>
    </row>
    <row r="168" spans="1:7" ht="24" customHeight="1">
      <c r="A168" s="255" t="s">
        <v>468</v>
      </c>
      <c r="B168" s="271" t="s">
        <v>67</v>
      </c>
      <c r="C168" s="253" t="s">
        <v>469</v>
      </c>
      <c r="D168" s="271"/>
      <c r="E168" s="382">
        <f>E169</f>
        <v>679.6</v>
      </c>
      <c r="F168" s="382">
        <f>F169</f>
        <v>370.6</v>
      </c>
      <c r="G168" s="334">
        <f t="shared" si="15"/>
        <v>0.5453207769276045</v>
      </c>
    </row>
    <row r="169" spans="1:7" ht="24" customHeight="1">
      <c r="A169" s="306" t="s">
        <v>289</v>
      </c>
      <c r="B169" s="272" t="s">
        <v>67</v>
      </c>
      <c r="C169" s="235" t="s">
        <v>469</v>
      </c>
      <c r="D169" s="272" t="s">
        <v>288</v>
      </c>
      <c r="E169" s="381">
        <f>E170</f>
        <v>679.6</v>
      </c>
      <c r="F169" s="381">
        <f>F170</f>
        <v>370.6</v>
      </c>
      <c r="G169" s="334">
        <f t="shared" si="15"/>
        <v>0.5453207769276045</v>
      </c>
    </row>
    <row r="170" spans="1:7" ht="24" customHeight="1">
      <c r="A170" s="329" t="s">
        <v>266</v>
      </c>
      <c r="B170" s="272" t="s">
        <v>67</v>
      </c>
      <c r="C170" s="235" t="s">
        <v>469</v>
      </c>
      <c r="D170" s="272" t="s">
        <v>222</v>
      </c>
      <c r="E170" s="381">
        <v>679.6</v>
      </c>
      <c r="F170" s="381">
        <v>370.6</v>
      </c>
      <c r="G170" s="352">
        <f t="shared" si="15"/>
        <v>0.5453207769276045</v>
      </c>
    </row>
    <row r="171" spans="1:7" thickBot="1">
      <c r="A171" s="359" t="s">
        <v>30</v>
      </c>
      <c r="B171" s="349" t="s">
        <v>19</v>
      </c>
      <c r="C171" s="349"/>
      <c r="D171" s="349"/>
      <c r="E171" s="385">
        <f>E176+E172</f>
        <v>667.3</v>
      </c>
      <c r="F171" s="385">
        <f>F176+F172</f>
        <v>603.29999999999995</v>
      </c>
      <c r="G171" s="317">
        <f t="shared" si="15"/>
        <v>0.90409111344222992</v>
      </c>
    </row>
    <row r="172" spans="1:7" ht="34.200000000000003">
      <c r="A172" s="315" t="s">
        <v>281</v>
      </c>
      <c r="B172" s="252" t="s">
        <v>280</v>
      </c>
      <c r="C172" s="252"/>
      <c r="D172" s="252"/>
      <c r="E172" s="371">
        <f>E173</f>
        <v>64</v>
      </c>
      <c r="F172" s="371">
        <f>F173</f>
        <v>0</v>
      </c>
      <c r="G172" s="303">
        <f t="shared" ref="G172:G203" si="17">F172/E172</f>
        <v>0</v>
      </c>
    </row>
    <row r="173" spans="1:7" ht="79.8">
      <c r="A173" s="269" t="s">
        <v>340</v>
      </c>
      <c r="B173" s="253" t="s">
        <v>280</v>
      </c>
      <c r="C173" s="253" t="s">
        <v>392</v>
      </c>
      <c r="D173" s="253"/>
      <c r="E173" s="372">
        <f>E175</f>
        <v>64</v>
      </c>
      <c r="F173" s="372">
        <f>F175</f>
        <v>0</v>
      </c>
      <c r="G173" s="303">
        <f t="shared" si="17"/>
        <v>0</v>
      </c>
    </row>
    <row r="174" spans="1:7" ht="31.5" customHeight="1">
      <c r="A174" s="306" t="s">
        <v>289</v>
      </c>
      <c r="B174" s="235" t="s">
        <v>280</v>
      </c>
      <c r="C174" s="235" t="s">
        <v>392</v>
      </c>
      <c r="D174" s="235" t="s">
        <v>288</v>
      </c>
      <c r="E174" s="374">
        <f>E175</f>
        <v>64</v>
      </c>
      <c r="F174" s="374">
        <f>F175</f>
        <v>0</v>
      </c>
      <c r="G174" s="303">
        <f t="shared" si="17"/>
        <v>0</v>
      </c>
    </row>
    <row r="175" spans="1:7" ht="30" customHeight="1">
      <c r="A175" s="329" t="s">
        <v>266</v>
      </c>
      <c r="B175" s="238" t="s">
        <v>280</v>
      </c>
      <c r="C175" s="238" t="s">
        <v>392</v>
      </c>
      <c r="D175" s="238" t="s">
        <v>222</v>
      </c>
      <c r="E175" s="374">
        <v>64</v>
      </c>
      <c r="F175" s="374">
        <v>0</v>
      </c>
      <c r="G175" s="303">
        <f t="shared" si="17"/>
        <v>0</v>
      </c>
    </row>
    <row r="176" spans="1:7" ht="19.8" customHeight="1">
      <c r="A176" s="269" t="s">
        <v>114</v>
      </c>
      <c r="B176" s="253" t="s">
        <v>20</v>
      </c>
      <c r="C176" s="253" t="s">
        <v>474</v>
      </c>
      <c r="D176" s="253"/>
      <c r="E176" s="372">
        <f>E179+E182</f>
        <v>603.29999999999995</v>
      </c>
      <c r="F176" s="372">
        <f>F179+F182</f>
        <v>603.29999999999995</v>
      </c>
      <c r="G176" s="303">
        <f t="shared" si="17"/>
        <v>1</v>
      </c>
    </row>
    <row r="177" spans="1:7" ht="36" hidden="1">
      <c r="A177" s="309" t="s">
        <v>156</v>
      </c>
      <c r="B177" s="235" t="s">
        <v>20</v>
      </c>
      <c r="C177" s="253" t="s">
        <v>472</v>
      </c>
      <c r="D177" s="235"/>
      <c r="E177" s="373">
        <f>E178</f>
        <v>0</v>
      </c>
      <c r="F177" s="397"/>
      <c r="G177" s="303" t="e">
        <f t="shared" si="17"/>
        <v>#DIV/0!</v>
      </c>
    </row>
    <row r="178" spans="1:7" ht="24" hidden="1">
      <c r="A178" s="311" t="s">
        <v>219</v>
      </c>
      <c r="B178" s="235" t="s">
        <v>20</v>
      </c>
      <c r="C178" s="253" t="s">
        <v>473</v>
      </c>
      <c r="D178" s="235" t="s">
        <v>220</v>
      </c>
      <c r="E178" s="374"/>
      <c r="F178" s="397"/>
      <c r="G178" s="303" t="e">
        <f t="shared" si="17"/>
        <v>#DIV/0!</v>
      </c>
    </row>
    <row r="179" spans="1:7" ht="22.8">
      <c r="A179" s="330" t="s">
        <v>470</v>
      </c>
      <c r="B179" s="253" t="s">
        <v>20</v>
      </c>
      <c r="C179" s="253" t="s">
        <v>471</v>
      </c>
      <c r="D179" s="235"/>
      <c r="E179" s="391">
        <f>E180</f>
        <v>547.29999999999995</v>
      </c>
      <c r="F179" s="391">
        <f>F180</f>
        <v>547.29999999999995</v>
      </c>
      <c r="G179" s="303">
        <f t="shared" si="17"/>
        <v>1</v>
      </c>
    </row>
    <row r="180" spans="1:7" ht="60">
      <c r="A180" s="306" t="s">
        <v>289</v>
      </c>
      <c r="B180" s="235" t="s">
        <v>20</v>
      </c>
      <c r="C180" s="235" t="s">
        <v>471</v>
      </c>
      <c r="D180" s="235" t="s">
        <v>288</v>
      </c>
      <c r="E180" s="374">
        <f>E181</f>
        <v>547.29999999999995</v>
      </c>
      <c r="F180" s="374">
        <f>F181</f>
        <v>547.29999999999995</v>
      </c>
      <c r="G180" s="303">
        <f t="shared" si="17"/>
        <v>1</v>
      </c>
    </row>
    <row r="181" spans="1:7" ht="36">
      <c r="A181" s="329" t="s">
        <v>266</v>
      </c>
      <c r="B181" s="235" t="s">
        <v>20</v>
      </c>
      <c r="C181" s="235" t="s">
        <v>471</v>
      </c>
      <c r="D181" s="235" t="s">
        <v>222</v>
      </c>
      <c r="E181" s="374">
        <v>547.29999999999995</v>
      </c>
      <c r="F181" s="402">
        <v>547.29999999999995</v>
      </c>
      <c r="G181" s="303">
        <f t="shared" si="17"/>
        <v>1</v>
      </c>
    </row>
    <row r="182" spans="1:7" ht="45.6">
      <c r="A182" s="330" t="s">
        <v>345</v>
      </c>
      <c r="B182" s="253" t="s">
        <v>20</v>
      </c>
      <c r="C182" s="253" t="s">
        <v>404</v>
      </c>
      <c r="D182" s="253"/>
      <c r="E182" s="372">
        <f>E184</f>
        <v>56</v>
      </c>
      <c r="F182" s="372">
        <f>F184</f>
        <v>56</v>
      </c>
      <c r="G182" s="303">
        <f t="shared" si="17"/>
        <v>1</v>
      </c>
    </row>
    <row r="183" spans="1:7" ht="26.25" customHeight="1">
      <c r="A183" s="306" t="s">
        <v>289</v>
      </c>
      <c r="B183" s="238" t="s">
        <v>20</v>
      </c>
      <c r="C183" s="235" t="s">
        <v>404</v>
      </c>
      <c r="D183" s="235" t="s">
        <v>288</v>
      </c>
      <c r="E183" s="374">
        <f>E184</f>
        <v>56</v>
      </c>
      <c r="F183" s="374">
        <f>F184</f>
        <v>56</v>
      </c>
      <c r="G183" s="303">
        <f t="shared" si="17"/>
        <v>1</v>
      </c>
    </row>
    <row r="184" spans="1:7" ht="24.75" customHeight="1" thickBot="1">
      <c r="A184" s="233" t="s">
        <v>266</v>
      </c>
      <c r="B184" s="238" t="s">
        <v>20</v>
      </c>
      <c r="C184" s="235" t="s">
        <v>404</v>
      </c>
      <c r="D184" s="235" t="s">
        <v>222</v>
      </c>
      <c r="E184" s="374">
        <v>56</v>
      </c>
      <c r="F184" s="374">
        <v>56</v>
      </c>
      <c r="G184" s="312">
        <f t="shared" si="17"/>
        <v>1</v>
      </c>
    </row>
    <row r="185" spans="1:7" thickBot="1">
      <c r="A185" s="313" t="s">
        <v>181</v>
      </c>
      <c r="B185" s="258" t="s">
        <v>21</v>
      </c>
      <c r="C185" s="258"/>
      <c r="D185" s="258"/>
      <c r="E185" s="378">
        <f>E186+E190</f>
        <v>13956.699999999999</v>
      </c>
      <c r="F185" s="378">
        <f>F186+F190</f>
        <v>12784.55</v>
      </c>
      <c r="G185" s="314">
        <f t="shared" si="17"/>
        <v>0.91601524715727933</v>
      </c>
    </row>
    <row r="186" spans="1:7" ht="13.2">
      <c r="A186" s="315" t="s">
        <v>34</v>
      </c>
      <c r="B186" s="252" t="s">
        <v>35</v>
      </c>
      <c r="C186" s="252"/>
      <c r="D186" s="252"/>
      <c r="E186" s="371">
        <f>E187</f>
        <v>2848</v>
      </c>
      <c r="F186" s="371">
        <f>F187</f>
        <v>2842</v>
      </c>
      <c r="G186" s="303">
        <f t="shared" si="17"/>
        <v>0.9978932584269663</v>
      </c>
    </row>
    <row r="187" spans="1:7" ht="57">
      <c r="A187" s="269" t="s">
        <v>346</v>
      </c>
      <c r="B187" s="253" t="s">
        <v>35</v>
      </c>
      <c r="C187" s="253" t="s">
        <v>393</v>
      </c>
      <c r="D187" s="253"/>
      <c r="E187" s="372">
        <f>E189</f>
        <v>2848</v>
      </c>
      <c r="F187" s="372">
        <f>F189</f>
        <v>2842</v>
      </c>
      <c r="G187" s="303">
        <f t="shared" si="17"/>
        <v>0.9978932584269663</v>
      </c>
    </row>
    <row r="188" spans="1:7" ht="29.25" customHeight="1">
      <c r="A188" s="306" t="s">
        <v>289</v>
      </c>
      <c r="B188" s="235" t="s">
        <v>35</v>
      </c>
      <c r="C188" s="235" t="s">
        <v>393</v>
      </c>
      <c r="D188" s="235" t="s">
        <v>288</v>
      </c>
      <c r="E188" s="374">
        <f>E189</f>
        <v>2848</v>
      </c>
      <c r="F188" s="374">
        <f>F189</f>
        <v>2842</v>
      </c>
      <c r="G188" s="303">
        <f t="shared" si="17"/>
        <v>0.9978932584269663</v>
      </c>
    </row>
    <row r="189" spans="1:7" ht="21" customHeight="1">
      <c r="A189" s="233" t="s">
        <v>266</v>
      </c>
      <c r="B189" s="235" t="s">
        <v>35</v>
      </c>
      <c r="C189" s="235" t="s">
        <v>393</v>
      </c>
      <c r="D189" s="235" t="s">
        <v>222</v>
      </c>
      <c r="E189" s="374">
        <v>2848</v>
      </c>
      <c r="F189" s="374">
        <v>2842</v>
      </c>
      <c r="G189" s="303">
        <f t="shared" si="17"/>
        <v>0.9978932584269663</v>
      </c>
    </row>
    <row r="190" spans="1:7" ht="22.8">
      <c r="A190" s="330" t="s">
        <v>267</v>
      </c>
      <c r="B190" s="253" t="s">
        <v>234</v>
      </c>
      <c r="C190" s="253"/>
      <c r="D190" s="253"/>
      <c r="E190" s="372">
        <f>E191+E194</f>
        <v>11108.699999999999</v>
      </c>
      <c r="F190" s="372">
        <f>F191+F194</f>
        <v>9942.5499999999993</v>
      </c>
      <c r="G190" s="303">
        <f t="shared" si="17"/>
        <v>0.89502372014727194</v>
      </c>
    </row>
    <row r="191" spans="1:7" ht="22.8">
      <c r="A191" s="331" t="s">
        <v>347</v>
      </c>
      <c r="B191" s="259" t="s">
        <v>234</v>
      </c>
      <c r="C191" s="253" t="s">
        <v>394</v>
      </c>
      <c r="D191" s="259"/>
      <c r="E191" s="391">
        <f>E193</f>
        <v>3645.6</v>
      </c>
      <c r="F191" s="391">
        <f>F193</f>
        <v>2557.8000000000002</v>
      </c>
      <c r="G191" s="303">
        <f t="shared" si="17"/>
        <v>0.70161290322580649</v>
      </c>
    </row>
    <row r="192" spans="1:7" ht="33" customHeight="1">
      <c r="A192" s="306" t="s">
        <v>289</v>
      </c>
      <c r="B192" s="238" t="s">
        <v>234</v>
      </c>
      <c r="C192" s="235" t="s">
        <v>394</v>
      </c>
      <c r="D192" s="235" t="s">
        <v>288</v>
      </c>
      <c r="E192" s="374">
        <f>E193</f>
        <v>3645.6</v>
      </c>
      <c r="F192" s="374">
        <f>F193</f>
        <v>2557.8000000000002</v>
      </c>
      <c r="G192" s="303">
        <f t="shared" si="17"/>
        <v>0.70161290322580649</v>
      </c>
    </row>
    <row r="193" spans="1:8" ht="24" customHeight="1">
      <c r="A193" s="329" t="s">
        <v>266</v>
      </c>
      <c r="B193" s="238" t="s">
        <v>234</v>
      </c>
      <c r="C193" s="238" t="s">
        <v>394</v>
      </c>
      <c r="D193" s="238" t="s">
        <v>222</v>
      </c>
      <c r="E193" s="374">
        <v>3645.6</v>
      </c>
      <c r="F193" s="374">
        <v>2557.8000000000002</v>
      </c>
      <c r="G193" s="334">
        <f t="shared" si="17"/>
        <v>0.70161290322580649</v>
      </c>
    </row>
    <row r="194" spans="1:8" ht="30.6" customHeight="1">
      <c r="A194" s="404" t="s">
        <v>520</v>
      </c>
      <c r="B194" s="238" t="s">
        <v>234</v>
      </c>
      <c r="C194" s="409" t="s">
        <v>524</v>
      </c>
      <c r="D194" s="253"/>
      <c r="E194" s="382">
        <f>E195+E197+E199</f>
        <v>7463.0999999999995</v>
      </c>
      <c r="F194" s="382">
        <f>F195+F197+F199</f>
        <v>7384.7499999999991</v>
      </c>
      <c r="G194" s="334">
        <f t="shared" si="17"/>
        <v>0.98950168160683893</v>
      </c>
    </row>
    <row r="195" spans="1:8" ht="35.4" customHeight="1">
      <c r="A195" s="405" t="s">
        <v>521</v>
      </c>
      <c r="B195" s="238" t="s">
        <v>234</v>
      </c>
      <c r="C195" s="410" t="s">
        <v>524</v>
      </c>
      <c r="D195" s="410" t="s">
        <v>282</v>
      </c>
      <c r="E195" s="414">
        <f>E196</f>
        <v>6311.4</v>
      </c>
      <c r="F195" s="381">
        <f>F196</f>
        <v>6311.4</v>
      </c>
      <c r="G195" s="334">
        <f t="shared" si="17"/>
        <v>1</v>
      </c>
    </row>
    <row r="196" spans="1:8" ht="24" customHeight="1">
      <c r="A196" s="406" t="s">
        <v>521</v>
      </c>
      <c r="B196" s="238" t="s">
        <v>234</v>
      </c>
      <c r="C196" s="410" t="s">
        <v>524</v>
      </c>
      <c r="D196" s="410" t="s">
        <v>283</v>
      </c>
      <c r="E196" s="414">
        <v>6311.4</v>
      </c>
      <c r="F196" s="381">
        <v>6311.4</v>
      </c>
      <c r="G196" s="334">
        <f t="shared" si="17"/>
        <v>1</v>
      </c>
    </row>
    <row r="197" spans="1:8" ht="24" customHeight="1">
      <c r="A197" s="407" t="s">
        <v>289</v>
      </c>
      <c r="B197" s="238" t="s">
        <v>234</v>
      </c>
      <c r="C197" s="411" t="s">
        <v>524</v>
      </c>
      <c r="D197" s="411" t="s">
        <v>288</v>
      </c>
      <c r="E197" s="414">
        <f>E198</f>
        <v>1151.5</v>
      </c>
      <c r="F197" s="414">
        <f>F198</f>
        <v>1073.2</v>
      </c>
      <c r="G197" s="334">
        <f t="shared" si="17"/>
        <v>0.9320017368649588</v>
      </c>
    </row>
    <row r="198" spans="1:8" ht="24" customHeight="1">
      <c r="A198" s="405" t="s">
        <v>266</v>
      </c>
      <c r="B198" s="238" t="s">
        <v>234</v>
      </c>
      <c r="C198" s="410" t="s">
        <v>524</v>
      </c>
      <c r="D198" s="410" t="s">
        <v>222</v>
      </c>
      <c r="E198" s="414">
        <v>1151.5</v>
      </c>
      <c r="F198" s="381">
        <v>1073.2</v>
      </c>
      <c r="G198" s="334">
        <f t="shared" si="17"/>
        <v>0.9320017368649588</v>
      </c>
    </row>
    <row r="199" spans="1:8" ht="24" customHeight="1">
      <c r="A199" s="405" t="s">
        <v>522</v>
      </c>
      <c r="B199" s="238" t="s">
        <v>234</v>
      </c>
      <c r="C199" s="410" t="s">
        <v>524</v>
      </c>
      <c r="D199" s="410" t="s">
        <v>290</v>
      </c>
      <c r="E199" s="414">
        <f>5-4.8</f>
        <v>0.20000000000000018</v>
      </c>
      <c r="F199" s="414">
        <f>F200</f>
        <v>0.15</v>
      </c>
      <c r="G199" s="334">
        <f t="shared" si="17"/>
        <v>0.74999999999999933</v>
      </c>
    </row>
    <row r="200" spans="1:8" ht="24" customHeight="1" thickBot="1">
      <c r="A200" s="408" t="s">
        <v>523</v>
      </c>
      <c r="B200" s="238" t="s">
        <v>234</v>
      </c>
      <c r="C200" s="412" t="s">
        <v>524</v>
      </c>
      <c r="D200" s="413" t="s">
        <v>292</v>
      </c>
      <c r="E200" s="414">
        <f>E199</f>
        <v>0.20000000000000018</v>
      </c>
      <c r="F200" s="381">
        <v>0.15</v>
      </c>
      <c r="G200" s="334">
        <f t="shared" si="17"/>
        <v>0.74999999999999933</v>
      </c>
    </row>
    <row r="201" spans="1:8" ht="22.2" customHeight="1" thickBot="1">
      <c r="A201" s="359" t="s">
        <v>31</v>
      </c>
      <c r="B201" s="349">
        <v>1000</v>
      </c>
      <c r="C201" s="349"/>
      <c r="D201" s="349"/>
      <c r="E201" s="385">
        <f>E209+E202</f>
        <v>1427.9</v>
      </c>
      <c r="F201" s="385">
        <f>F209+F202</f>
        <v>1376.4</v>
      </c>
      <c r="G201" s="317">
        <f t="shared" si="17"/>
        <v>0.96393304853281048</v>
      </c>
    </row>
    <row r="202" spans="1:8" ht="13.2">
      <c r="A202" s="251" t="s">
        <v>193</v>
      </c>
      <c r="B202" s="252" t="s">
        <v>192</v>
      </c>
      <c r="C202" s="252"/>
      <c r="D202" s="252"/>
      <c r="E202" s="371">
        <f>E206+E203</f>
        <v>346.5</v>
      </c>
      <c r="F202" s="371">
        <f>F206+F203</f>
        <v>346.5</v>
      </c>
      <c r="G202" s="303">
        <f t="shared" si="17"/>
        <v>1</v>
      </c>
    </row>
    <row r="203" spans="1:8" ht="20.25" hidden="1" customHeight="1">
      <c r="A203" s="254" t="s">
        <v>428</v>
      </c>
      <c r="B203" s="253" t="s">
        <v>192</v>
      </c>
      <c r="C203" s="253" t="s">
        <v>426</v>
      </c>
      <c r="D203" s="253"/>
      <c r="E203" s="392">
        <f>E204</f>
        <v>0</v>
      </c>
      <c r="F203" s="403">
        <f>F204</f>
        <v>0</v>
      </c>
      <c r="G203" s="303" t="e">
        <f t="shared" si="17"/>
        <v>#DIV/0!</v>
      </c>
      <c r="H203" s="298"/>
    </row>
    <row r="204" spans="1:8" ht="20.25" hidden="1" customHeight="1">
      <c r="A204" s="254" t="s">
        <v>427</v>
      </c>
      <c r="B204" s="235" t="s">
        <v>192</v>
      </c>
      <c r="C204" s="235" t="s">
        <v>426</v>
      </c>
      <c r="D204" s="235" t="s">
        <v>294</v>
      </c>
      <c r="E204" s="393">
        <f>E205</f>
        <v>0</v>
      </c>
      <c r="F204" s="393">
        <f>F205</f>
        <v>0</v>
      </c>
      <c r="G204" s="303" t="e">
        <f t="shared" ref="G204:G210" si="18">F204/E204</f>
        <v>#DIV/0!</v>
      </c>
      <c r="H204" s="298"/>
    </row>
    <row r="205" spans="1:8" ht="20.25" hidden="1" customHeight="1">
      <c r="A205" s="233" t="s">
        <v>428</v>
      </c>
      <c r="B205" s="235" t="s">
        <v>192</v>
      </c>
      <c r="C205" s="235" t="s">
        <v>426</v>
      </c>
      <c r="D205" s="235" t="s">
        <v>429</v>
      </c>
      <c r="E205" s="393">
        <v>0</v>
      </c>
      <c r="F205" s="393">
        <v>0</v>
      </c>
      <c r="G205" s="303" t="e">
        <f t="shared" si="18"/>
        <v>#DIV/0!</v>
      </c>
      <c r="H205" s="298"/>
    </row>
    <row r="206" spans="1:8" ht="34.200000000000003">
      <c r="A206" s="325" t="s">
        <v>194</v>
      </c>
      <c r="B206" s="271" t="s">
        <v>192</v>
      </c>
      <c r="C206" s="259" t="s">
        <v>395</v>
      </c>
      <c r="D206" s="271"/>
      <c r="E206" s="371">
        <f>E208</f>
        <v>346.5</v>
      </c>
      <c r="F206" s="371">
        <f>F208</f>
        <v>346.5</v>
      </c>
      <c r="G206" s="303">
        <f t="shared" si="18"/>
        <v>1</v>
      </c>
    </row>
    <row r="207" spans="1:8" ht="36">
      <c r="A207" s="332" t="s">
        <v>296</v>
      </c>
      <c r="B207" s="273" t="s">
        <v>192</v>
      </c>
      <c r="C207" s="238" t="s">
        <v>395</v>
      </c>
      <c r="D207" s="273" t="s">
        <v>288</v>
      </c>
      <c r="E207" s="373">
        <f>E208</f>
        <v>346.5</v>
      </c>
      <c r="F207" s="373">
        <f>F208</f>
        <v>346.5</v>
      </c>
      <c r="G207" s="303">
        <f t="shared" si="18"/>
        <v>1</v>
      </c>
    </row>
    <row r="208" spans="1:8" ht="36">
      <c r="A208" s="332" t="s">
        <v>297</v>
      </c>
      <c r="B208" s="273" t="s">
        <v>192</v>
      </c>
      <c r="C208" s="238" t="s">
        <v>395</v>
      </c>
      <c r="D208" s="273" t="s">
        <v>222</v>
      </c>
      <c r="E208" s="373">
        <v>346.5</v>
      </c>
      <c r="F208" s="373">
        <v>346.5</v>
      </c>
      <c r="G208" s="303">
        <f t="shared" si="18"/>
        <v>1</v>
      </c>
    </row>
    <row r="209" spans="1:7" ht="13.2">
      <c r="A209" s="269" t="s">
        <v>150</v>
      </c>
      <c r="B209" s="253" t="s">
        <v>36</v>
      </c>
      <c r="C209" s="253"/>
      <c r="D209" s="253"/>
      <c r="E209" s="372">
        <f>E210</f>
        <v>1081.4000000000001</v>
      </c>
      <c r="F209" s="372">
        <f>F210</f>
        <v>1029.9000000000001</v>
      </c>
      <c r="G209" s="303">
        <f t="shared" si="18"/>
        <v>0.95237654891806922</v>
      </c>
    </row>
    <row r="210" spans="1:7" ht="45.6">
      <c r="A210" s="269" t="s">
        <v>409</v>
      </c>
      <c r="B210" s="253" t="s">
        <v>36</v>
      </c>
      <c r="C210" s="253" t="s">
        <v>410</v>
      </c>
      <c r="D210" s="253"/>
      <c r="E210" s="394">
        <f>E212</f>
        <v>1081.4000000000001</v>
      </c>
      <c r="F210" s="394">
        <f>F212</f>
        <v>1029.9000000000001</v>
      </c>
      <c r="G210" s="303">
        <f t="shared" si="18"/>
        <v>0.95237654891806922</v>
      </c>
    </row>
    <row r="211" spans="1:7" ht="18.75" customHeight="1">
      <c r="A211" s="332" t="s">
        <v>296</v>
      </c>
      <c r="B211" s="235" t="s">
        <v>36</v>
      </c>
      <c r="C211" s="235" t="s">
        <v>410</v>
      </c>
      <c r="D211" s="235" t="s">
        <v>288</v>
      </c>
      <c r="E211" s="373">
        <f>E212</f>
        <v>1081.4000000000001</v>
      </c>
      <c r="F211" s="373">
        <f>F212</f>
        <v>1029.9000000000001</v>
      </c>
      <c r="G211" s="303">
        <f t="shared" ref="G211:G228" si="19">F211/E211</f>
        <v>0.95237654891806922</v>
      </c>
    </row>
    <row r="212" spans="1:7" ht="22.5" customHeight="1" thickBot="1">
      <c r="A212" s="332" t="s">
        <v>297</v>
      </c>
      <c r="B212" s="235" t="s">
        <v>36</v>
      </c>
      <c r="C212" s="235" t="s">
        <v>410</v>
      </c>
      <c r="D212" s="235" t="s">
        <v>222</v>
      </c>
      <c r="E212" s="373">
        <v>1081.4000000000001</v>
      </c>
      <c r="F212" s="373">
        <v>1029.9000000000001</v>
      </c>
      <c r="G212" s="312">
        <f t="shared" si="19"/>
        <v>0.95237654891806922</v>
      </c>
    </row>
    <row r="213" spans="1:7" ht="18" customHeight="1" thickBot="1">
      <c r="A213" s="313" t="s">
        <v>149</v>
      </c>
      <c r="B213" s="258" t="s">
        <v>161</v>
      </c>
      <c r="C213" s="258"/>
      <c r="D213" s="258"/>
      <c r="E213" s="378">
        <f>E214+E218</f>
        <v>1532.1999999999998</v>
      </c>
      <c r="F213" s="378">
        <f>F214+F218</f>
        <v>1516.5</v>
      </c>
      <c r="G213" s="312">
        <f t="shared" si="19"/>
        <v>0.98975329591437156</v>
      </c>
    </row>
    <row r="214" spans="1:7" ht="19.2" customHeight="1" thickBot="1">
      <c r="A214" s="315" t="s">
        <v>162</v>
      </c>
      <c r="B214" s="252" t="s">
        <v>160</v>
      </c>
      <c r="C214" s="252"/>
      <c r="D214" s="252"/>
      <c r="E214" s="371">
        <f t="shared" ref="E214:F214" si="20">E215</f>
        <v>0</v>
      </c>
      <c r="F214" s="371">
        <f t="shared" si="20"/>
        <v>0</v>
      </c>
      <c r="G214" s="312">
        <v>0</v>
      </c>
    </row>
    <row r="215" spans="1:7" ht="69" thickBot="1">
      <c r="A215" s="330" t="s">
        <v>333</v>
      </c>
      <c r="B215" s="235" t="s">
        <v>160</v>
      </c>
      <c r="C215" s="259" t="s">
        <v>396</v>
      </c>
      <c r="D215" s="235"/>
      <c r="E215" s="373">
        <f>E217</f>
        <v>0</v>
      </c>
      <c r="F215" s="373">
        <f>F217</f>
        <v>0</v>
      </c>
      <c r="G215" s="312">
        <v>0</v>
      </c>
    </row>
    <row r="216" spans="1:7" ht="26.25" customHeight="1" thickBot="1">
      <c r="A216" s="306" t="s">
        <v>289</v>
      </c>
      <c r="B216" s="238" t="s">
        <v>160</v>
      </c>
      <c r="C216" s="238" t="s">
        <v>396</v>
      </c>
      <c r="D216" s="238" t="s">
        <v>288</v>
      </c>
      <c r="E216" s="374">
        <f>E217</f>
        <v>0</v>
      </c>
      <c r="F216" s="374">
        <v>0</v>
      </c>
      <c r="G216" s="312">
        <v>0</v>
      </c>
    </row>
    <row r="217" spans="1:7" ht="23.25" customHeight="1" thickBot="1">
      <c r="A217" s="329" t="s">
        <v>266</v>
      </c>
      <c r="B217" s="238" t="s">
        <v>160</v>
      </c>
      <c r="C217" s="238" t="s">
        <v>396</v>
      </c>
      <c r="D217" s="238" t="s">
        <v>222</v>
      </c>
      <c r="E217" s="374">
        <v>0</v>
      </c>
      <c r="F217" s="374">
        <v>0</v>
      </c>
      <c r="G217" s="312">
        <v>0</v>
      </c>
    </row>
    <row r="218" spans="1:7" ht="23.25" customHeight="1" thickBot="1">
      <c r="A218" s="404" t="s">
        <v>520</v>
      </c>
      <c r="B218" s="235" t="s">
        <v>160</v>
      </c>
      <c r="C218" s="409" t="s">
        <v>524</v>
      </c>
      <c r="D218" s="253"/>
      <c r="E218" s="415">
        <f>E219+E221</f>
        <v>1532.1999999999998</v>
      </c>
      <c r="F218" s="415">
        <f>F219+F221</f>
        <v>1516.5</v>
      </c>
      <c r="G218" s="312">
        <f t="shared" si="19"/>
        <v>0.98975329591437156</v>
      </c>
    </row>
    <row r="219" spans="1:7" ht="23.25" customHeight="1" thickBot="1">
      <c r="A219" s="405" t="s">
        <v>521</v>
      </c>
      <c r="B219" s="235" t="s">
        <v>160</v>
      </c>
      <c r="C219" s="410" t="s">
        <v>524</v>
      </c>
      <c r="D219" s="410" t="s">
        <v>282</v>
      </c>
      <c r="E219" s="416">
        <f>E220</f>
        <v>1398.6</v>
      </c>
      <c r="F219" s="381">
        <f>F220</f>
        <v>1393.4</v>
      </c>
      <c r="G219" s="312">
        <f t="shared" si="19"/>
        <v>0.99628199628199643</v>
      </c>
    </row>
    <row r="220" spans="1:7" ht="23.25" customHeight="1" thickBot="1">
      <c r="A220" s="405" t="s">
        <v>521</v>
      </c>
      <c r="B220" s="235" t="s">
        <v>160</v>
      </c>
      <c r="C220" s="410" t="s">
        <v>524</v>
      </c>
      <c r="D220" s="410" t="s">
        <v>283</v>
      </c>
      <c r="E220" s="417">
        <v>1398.6</v>
      </c>
      <c r="F220" s="381">
        <v>1393.4</v>
      </c>
      <c r="G220" s="312">
        <f t="shared" si="19"/>
        <v>0.99628199628199643</v>
      </c>
    </row>
    <row r="221" spans="1:7" ht="23.25" customHeight="1" thickBot="1">
      <c r="A221" s="407" t="s">
        <v>289</v>
      </c>
      <c r="B221" s="235" t="s">
        <v>160</v>
      </c>
      <c r="C221" s="410" t="s">
        <v>524</v>
      </c>
      <c r="D221" s="410" t="s">
        <v>288</v>
      </c>
      <c r="E221" s="418">
        <f>E222</f>
        <v>133.6</v>
      </c>
      <c r="F221" s="381">
        <f>F222</f>
        <v>123.1</v>
      </c>
      <c r="G221" s="312">
        <f t="shared" si="19"/>
        <v>0.92140718562874246</v>
      </c>
    </row>
    <row r="222" spans="1:7" ht="39.6" customHeight="1" thickBot="1">
      <c r="A222" s="408" t="s">
        <v>266</v>
      </c>
      <c r="B222" s="235" t="s">
        <v>160</v>
      </c>
      <c r="C222" s="412" t="s">
        <v>524</v>
      </c>
      <c r="D222" s="412" t="s">
        <v>222</v>
      </c>
      <c r="E222" s="381">
        <v>133.6</v>
      </c>
      <c r="F222" s="381">
        <v>123.1</v>
      </c>
      <c r="G222" s="312">
        <f t="shared" si="19"/>
        <v>0.92140718562874246</v>
      </c>
    </row>
    <row r="223" spans="1:7" ht="18" customHeight="1" thickBot="1">
      <c r="A223" s="359" t="s">
        <v>163</v>
      </c>
      <c r="B223" s="349" t="s">
        <v>164</v>
      </c>
      <c r="C223" s="349"/>
      <c r="D223" s="349"/>
      <c r="E223" s="385">
        <f>E224</f>
        <v>692.4</v>
      </c>
      <c r="F223" s="385">
        <f>F224</f>
        <v>692.4</v>
      </c>
      <c r="G223" s="317">
        <f t="shared" si="19"/>
        <v>1</v>
      </c>
    </row>
    <row r="224" spans="1:7" ht="24.6" customHeight="1">
      <c r="A224" s="315" t="s">
        <v>166</v>
      </c>
      <c r="B224" s="252" t="s">
        <v>165</v>
      </c>
      <c r="C224" s="252"/>
      <c r="D224" s="252"/>
      <c r="E224" s="371">
        <f>E225</f>
        <v>692.4</v>
      </c>
      <c r="F224" s="371">
        <f>F225</f>
        <v>692.4</v>
      </c>
      <c r="G224" s="303">
        <f t="shared" si="19"/>
        <v>1</v>
      </c>
    </row>
    <row r="225" spans="1:7" ht="22.8">
      <c r="A225" s="330" t="s">
        <v>236</v>
      </c>
      <c r="B225" s="253" t="s">
        <v>165</v>
      </c>
      <c r="C225" s="253" t="s">
        <v>397</v>
      </c>
      <c r="D225" s="253"/>
      <c r="E225" s="372">
        <f>E227</f>
        <v>692.4</v>
      </c>
      <c r="F225" s="372">
        <f>F227</f>
        <v>692.4</v>
      </c>
      <c r="G225" s="303">
        <f t="shared" si="19"/>
        <v>1</v>
      </c>
    </row>
    <row r="226" spans="1:7" ht="29.4" customHeight="1">
      <c r="A226" s="306" t="s">
        <v>289</v>
      </c>
      <c r="B226" s="235" t="s">
        <v>165</v>
      </c>
      <c r="C226" s="235" t="s">
        <v>397</v>
      </c>
      <c r="D226" s="238" t="s">
        <v>288</v>
      </c>
      <c r="E226" s="373">
        <f>E227</f>
        <v>692.4</v>
      </c>
      <c r="F226" s="373">
        <f>F227</f>
        <v>692.4</v>
      </c>
      <c r="G226" s="303">
        <f t="shared" si="19"/>
        <v>1</v>
      </c>
    </row>
    <row r="227" spans="1:7" ht="31.2" customHeight="1" thickBot="1">
      <c r="A227" s="233" t="s">
        <v>266</v>
      </c>
      <c r="B227" s="235" t="s">
        <v>165</v>
      </c>
      <c r="C227" s="235" t="s">
        <v>397</v>
      </c>
      <c r="D227" s="238" t="s">
        <v>222</v>
      </c>
      <c r="E227" s="373">
        <v>692.4</v>
      </c>
      <c r="F227" s="373">
        <v>692.4</v>
      </c>
      <c r="G227" s="312">
        <f t="shared" si="19"/>
        <v>1</v>
      </c>
    </row>
    <row r="228" spans="1:7" ht="14.4" thickBot="1">
      <c r="A228" s="333" t="s">
        <v>32</v>
      </c>
      <c r="B228" s="260"/>
      <c r="C228" s="260"/>
      <c r="D228" s="260"/>
      <c r="E228" s="395">
        <f>E223+E213+E201+E185+E171+E121+E105+E9+E97</f>
        <v>130744.7</v>
      </c>
      <c r="F228" s="395">
        <f>F223+F213+F201+F185+F171+F121+F105+F9+F97</f>
        <v>106033.45</v>
      </c>
      <c r="G228" s="314">
        <f t="shared" si="19"/>
        <v>0.81099616275076547</v>
      </c>
    </row>
    <row r="230" spans="1:7">
      <c r="E230" s="420"/>
    </row>
    <row r="231" spans="1:7">
      <c r="E231" s="421"/>
    </row>
    <row r="233" spans="1:7">
      <c r="E233" s="422"/>
    </row>
  </sheetData>
  <mergeCells count="2">
    <mergeCell ref="A5:G6"/>
    <mergeCell ref="E2:G2"/>
  </mergeCells>
  <printOptions horizontalCentered="1"/>
  <pageMargins left="0.51181102362204722" right="0.11811023622047245" top="0.9448818897637796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5"/>
  <sheetViews>
    <sheetView workbookViewId="0">
      <selection activeCell="E18" sqref="E18"/>
    </sheetView>
  </sheetViews>
  <sheetFormatPr defaultColWidth="9.109375" defaultRowHeight="13.8"/>
  <cols>
    <col min="1" max="1" width="46.109375" style="8" customWidth="1"/>
    <col min="2" max="2" width="9.109375" style="9" customWidth="1"/>
    <col min="3" max="3" width="15" style="8" customWidth="1"/>
    <col min="4" max="4" width="11.109375" style="8" customWidth="1"/>
    <col min="5" max="5" width="10.44140625" style="419" customWidth="1"/>
    <col min="6" max="6" width="14.21875" style="113" customWidth="1"/>
    <col min="7" max="7" width="13.33203125" style="113" customWidth="1"/>
    <col min="8" max="8" width="13.6640625" style="113" customWidth="1"/>
    <col min="9" max="16384" width="9.109375" style="113"/>
  </cols>
  <sheetData>
    <row r="1" spans="1:13" ht="15.6">
      <c r="A1" s="239"/>
      <c r="B1" s="423"/>
      <c r="C1" s="228"/>
      <c r="D1" s="228"/>
      <c r="E1" s="265"/>
      <c r="F1" s="265"/>
      <c r="G1" s="537" t="s">
        <v>569</v>
      </c>
      <c r="H1" s="537"/>
    </row>
    <row r="2" spans="1:13" ht="13.2" customHeight="1">
      <c r="A2" s="114"/>
      <c r="B2" s="114"/>
      <c r="C2" s="114"/>
      <c r="D2" s="114"/>
      <c r="E2" s="534" t="s">
        <v>447</v>
      </c>
      <c r="F2" s="534"/>
      <c r="G2" s="534"/>
      <c r="H2" s="534"/>
      <c r="I2" s="265"/>
      <c r="J2" s="265"/>
      <c r="K2" s="265"/>
      <c r="L2" s="265"/>
    </row>
    <row r="3" spans="1:13" ht="25.5" customHeight="1">
      <c r="A3" s="114"/>
      <c r="B3" s="114"/>
      <c r="C3" s="114"/>
      <c r="D3" s="114"/>
      <c r="E3" s="265"/>
      <c r="F3" s="534" t="s">
        <v>483</v>
      </c>
      <c r="G3" s="534"/>
      <c r="H3" s="534"/>
      <c r="I3" s="2"/>
      <c r="J3" s="2"/>
      <c r="K3" s="284"/>
    </row>
    <row r="4" spans="1:13" ht="13.2">
      <c r="A4" s="114"/>
      <c r="B4" s="114"/>
      <c r="C4" s="114"/>
      <c r="D4" s="114"/>
      <c r="E4" s="368"/>
    </row>
    <row r="5" spans="1:13" ht="12.6" customHeight="1">
      <c r="A5" s="535" t="s">
        <v>482</v>
      </c>
      <c r="B5" s="535"/>
      <c r="C5" s="535"/>
      <c r="D5" s="535"/>
      <c r="E5" s="535"/>
      <c r="F5" s="535"/>
      <c r="G5" s="535"/>
      <c r="H5" s="535"/>
    </row>
    <row r="6" spans="1:13" ht="12.6" customHeight="1">
      <c r="A6" s="535"/>
      <c r="B6" s="535"/>
      <c r="C6" s="535"/>
      <c r="D6" s="535"/>
      <c r="E6" s="535"/>
      <c r="F6" s="535"/>
      <c r="G6" s="535"/>
      <c r="H6" s="535"/>
    </row>
    <row r="7" spans="1:13" thickBot="1">
      <c r="A7" s="230"/>
      <c r="B7" s="229"/>
      <c r="C7" s="229"/>
      <c r="D7" s="231"/>
      <c r="E7" s="369"/>
    </row>
    <row r="8" spans="1:13" ht="42" thickBot="1">
      <c r="A8" s="444" t="s">
        <v>22</v>
      </c>
      <c r="B8" s="232" t="s">
        <v>530</v>
      </c>
      <c r="C8" s="232" t="s">
        <v>23</v>
      </c>
      <c r="D8" s="232" t="s">
        <v>12</v>
      </c>
      <c r="E8" s="232" t="s">
        <v>24</v>
      </c>
      <c r="F8" s="506" t="s">
        <v>420</v>
      </c>
      <c r="G8" s="507" t="s">
        <v>417</v>
      </c>
      <c r="H8" s="508" t="s">
        <v>418</v>
      </c>
      <c r="I8" s="8"/>
      <c r="J8" s="8"/>
      <c r="K8" s="419"/>
      <c r="L8" s="367"/>
      <c r="M8" s="294"/>
    </row>
    <row r="9" spans="1:13" ht="36.6" thickBot="1">
      <c r="A9" s="445" t="s">
        <v>531</v>
      </c>
      <c r="B9" s="446" t="s">
        <v>532</v>
      </c>
      <c r="C9" s="446"/>
      <c r="D9" s="446"/>
      <c r="E9" s="446"/>
      <c r="F9" s="488">
        <f>F10</f>
        <v>3786.0000000000005</v>
      </c>
      <c r="G9" s="488">
        <f>G10</f>
        <v>3746.1</v>
      </c>
      <c r="H9" s="303">
        <f>G9/F9</f>
        <v>0.98946117274167977</v>
      </c>
      <c r="I9" s="8"/>
      <c r="J9" s="8"/>
      <c r="K9" s="420"/>
      <c r="L9" s="367"/>
      <c r="M9" s="294"/>
    </row>
    <row r="10" spans="1:13">
      <c r="A10" s="447" t="s">
        <v>65</v>
      </c>
      <c r="B10" s="252" t="s">
        <v>532</v>
      </c>
      <c r="C10" s="252" t="s">
        <v>11</v>
      </c>
      <c r="D10" s="252"/>
      <c r="E10" s="252"/>
      <c r="F10" s="484">
        <f>F12+F15+F27</f>
        <v>3786.0000000000005</v>
      </c>
      <c r="G10" s="484">
        <f>G12+G15+G27</f>
        <v>3746.1</v>
      </c>
      <c r="H10" s="303">
        <f t="shared" ref="H10:H73" si="0">G10/F10</f>
        <v>0.98946117274167977</v>
      </c>
      <c r="I10" s="8"/>
      <c r="J10" s="8"/>
      <c r="K10" s="421"/>
      <c r="L10" s="367"/>
      <c r="M10" s="294"/>
    </row>
    <row r="11" spans="1:13" ht="37.200000000000003" customHeight="1">
      <c r="A11" s="447" t="s">
        <v>268</v>
      </c>
      <c r="B11" s="252" t="s">
        <v>532</v>
      </c>
      <c r="C11" s="252" t="s">
        <v>37</v>
      </c>
      <c r="D11" s="252"/>
      <c r="E11" s="252"/>
      <c r="F11" s="484">
        <f t="shared" ref="F11:G13" si="1">F12</f>
        <v>1224</v>
      </c>
      <c r="G11" s="484">
        <f t="shared" si="1"/>
        <v>1212</v>
      </c>
      <c r="H11" s="303">
        <f t="shared" si="0"/>
        <v>0.99019607843137258</v>
      </c>
      <c r="I11" s="8"/>
      <c r="J11" s="8"/>
      <c r="K11" s="419"/>
      <c r="L11" s="367"/>
      <c r="M11" s="294"/>
    </row>
    <row r="12" spans="1:13">
      <c r="A12" s="255" t="s">
        <v>139</v>
      </c>
      <c r="B12" s="253" t="s">
        <v>532</v>
      </c>
      <c r="C12" s="253" t="s">
        <v>37</v>
      </c>
      <c r="D12" s="253" t="s">
        <v>366</v>
      </c>
      <c r="E12" s="253"/>
      <c r="F12" s="485">
        <f t="shared" si="1"/>
        <v>1224</v>
      </c>
      <c r="G12" s="485">
        <f t="shared" si="1"/>
        <v>1212</v>
      </c>
      <c r="H12" s="303">
        <f t="shared" si="0"/>
        <v>0.99019607843137258</v>
      </c>
      <c r="I12" s="8"/>
      <c r="J12" s="8"/>
      <c r="K12" s="422"/>
      <c r="L12" s="367"/>
      <c r="M12" s="294"/>
    </row>
    <row r="13" spans="1:13" ht="50.4" customHeight="1">
      <c r="A13" s="234" t="s">
        <v>284</v>
      </c>
      <c r="B13" s="235" t="s">
        <v>532</v>
      </c>
      <c r="C13" s="235" t="s">
        <v>37</v>
      </c>
      <c r="D13" s="235" t="s">
        <v>366</v>
      </c>
      <c r="E13" s="235" t="s">
        <v>282</v>
      </c>
      <c r="F13" s="486">
        <f t="shared" si="1"/>
        <v>1224</v>
      </c>
      <c r="G13" s="486">
        <f t="shared" si="1"/>
        <v>1212</v>
      </c>
      <c r="H13" s="303">
        <f t="shared" si="0"/>
        <v>0.99019607843137258</v>
      </c>
      <c r="I13" s="8"/>
      <c r="J13" s="8"/>
      <c r="K13" s="419"/>
      <c r="L13" s="367"/>
      <c r="M13" s="294"/>
    </row>
    <row r="14" spans="1:13" ht="29.4" customHeight="1">
      <c r="A14" s="234" t="s">
        <v>285</v>
      </c>
      <c r="B14" s="235" t="s">
        <v>532</v>
      </c>
      <c r="C14" s="235" t="s">
        <v>37</v>
      </c>
      <c r="D14" s="235" t="s">
        <v>366</v>
      </c>
      <c r="E14" s="235" t="s">
        <v>283</v>
      </c>
      <c r="F14" s="486">
        <v>1224</v>
      </c>
      <c r="G14" s="480">
        <v>1212</v>
      </c>
      <c r="H14" s="303">
        <f t="shared" si="0"/>
        <v>0.99019607843137258</v>
      </c>
      <c r="I14" s="8"/>
      <c r="J14" s="8"/>
      <c r="K14" s="419"/>
      <c r="L14" s="367"/>
      <c r="M14" s="294"/>
    </row>
    <row r="15" spans="1:13" ht="33" customHeight="1">
      <c r="A15" s="255" t="s">
        <v>183</v>
      </c>
      <c r="B15" s="253" t="s">
        <v>532</v>
      </c>
      <c r="C15" s="253" t="s">
        <v>25</v>
      </c>
      <c r="D15" s="253"/>
      <c r="E15" s="253"/>
      <c r="F15" s="485">
        <f>F16</f>
        <v>2478.0000000000005</v>
      </c>
      <c r="G15" s="485">
        <f>G16</f>
        <v>2450.1</v>
      </c>
      <c r="H15" s="303">
        <f t="shared" si="0"/>
        <v>0.98874092009685211</v>
      </c>
      <c r="I15" s="8"/>
      <c r="J15" s="8"/>
      <c r="K15" s="419"/>
      <c r="L15" s="367"/>
      <c r="M15" s="294"/>
    </row>
    <row r="16" spans="1:13" ht="22.8">
      <c r="A16" s="424" t="s">
        <v>403</v>
      </c>
      <c r="B16" s="271" t="s">
        <v>532</v>
      </c>
      <c r="C16" s="271" t="s">
        <v>25</v>
      </c>
      <c r="D16" s="253" t="s">
        <v>367</v>
      </c>
      <c r="E16" s="271"/>
      <c r="F16" s="485">
        <f>F17+F24</f>
        <v>2478.0000000000005</v>
      </c>
      <c r="G16" s="485">
        <f>G17+G24</f>
        <v>2450.1</v>
      </c>
      <c r="H16" s="303">
        <f t="shared" si="0"/>
        <v>0.98874092009685211</v>
      </c>
      <c r="I16" s="8"/>
      <c r="J16" s="8"/>
      <c r="K16" s="419"/>
      <c r="L16" s="367"/>
      <c r="M16" s="294"/>
    </row>
    <row r="17" spans="1:13" ht="22.8">
      <c r="A17" s="255" t="s">
        <v>218</v>
      </c>
      <c r="B17" s="253" t="s">
        <v>532</v>
      </c>
      <c r="C17" s="253" t="s">
        <v>25</v>
      </c>
      <c r="D17" s="253" t="s">
        <v>398</v>
      </c>
      <c r="E17" s="253"/>
      <c r="F17" s="485">
        <f>F19+F21+F23</f>
        <v>2359.6000000000004</v>
      </c>
      <c r="G17" s="485">
        <f>G19+G21+G23</f>
        <v>2348.6</v>
      </c>
      <c r="H17" s="303">
        <f t="shared" si="0"/>
        <v>0.99533819291405301</v>
      </c>
      <c r="I17" s="8"/>
      <c r="J17" s="8"/>
      <c r="K17" s="419"/>
      <c r="L17" s="367"/>
      <c r="M17" s="294"/>
    </row>
    <row r="18" spans="1:13" ht="48">
      <c r="A18" s="425" t="s">
        <v>286</v>
      </c>
      <c r="B18" s="235" t="s">
        <v>532</v>
      </c>
      <c r="C18" s="235" t="s">
        <v>25</v>
      </c>
      <c r="D18" s="235" t="s">
        <v>398</v>
      </c>
      <c r="E18" s="235" t="s">
        <v>282</v>
      </c>
      <c r="F18" s="487">
        <f>F19</f>
        <v>1392.4</v>
      </c>
      <c r="G18" s="487">
        <f>G19</f>
        <v>1390</v>
      </c>
      <c r="H18" s="303">
        <f t="shared" si="0"/>
        <v>0.99827635736857223</v>
      </c>
      <c r="I18" s="8"/>
      <c r="J18" s="8"/>
      <c r="K18" s="419"/>
      <c r="L18" s="367"/>
      <c r="M18" s="294"/>
    </row>
    <row r="19" spans="1:13" ht="24">
      <c r="A19" s="425" t="s">
        <v>287</v>
      </c>
      <c r="B19" s="235" t="s">
        <v>532</v>
      </c>
      <c r="C19" s="235" t="s">
        <v>25</v>
      </c>
      <c r="D19" s="235" t="s">
        <v>398</v>
      </c>
      <c r="E19" s="235" t="s">
        <v>283</v>
      </c>
      <c r="F19" s="487">
        <f>754.5+637.9</f>
        <v>1392.4</v>
      </c>
      <c r="G19" s="487">
        <v>1390</v>
      </c>
      <c r="H19" s="303">
        <f t="shared" si="0"/>
        <v>0.99827635736857223</v>
      </c>
      <c r="I19" s="8"/>
      <c r="J19" s="8"/>
      <c r="K19" s="419"/>
      <c r="L19" s="367"/>
      <c r="M19" s="294"/>
    </row>
    <row r="20" spans="1:13" ht="30" customHeight="1">
      <c r="A20" s="426" t="s">
        <v>289</v>
      </c>
      <c r="B20" s="235" t="s">
        <v>532</v>
      </c>
      <c r="C20" s="235" t="s">
        <v>25</v>
      </c>
      <c r="D20" s="235" t="s">
        <v>398</v>
      </c>
      <c r="E20" s="235" t="s">
        <v>288</v>
      </c>
      <c r="F20" s="487">
        <f>F21</f>
        <v>967.2</v>
      </c>
      <c r="G20" s="487">
        <f>G21</f>
        <v>958.6</v>
      </c>
      <c r="H20" s="303">
        <f t="shared" si="0"/>
        <v>0.99110835401157982</v>
      </c>
      <c r="I20" s="8"/>
      <c r="J20" s="8"/>
      <c r="K20" s="419"/>
      <c r="L20" s="367"/>
      <c r="M20" s="294"/>
    </row>
    <row r="21" spans="1:13" ht="36">
      <c r="A21" s="234" t="s">
        <v>266</v>
      </c>
      <c r="B21" s="235" t="s">
        <v>532</v>
      </c>
      <c r="C21" s="235" t="s">
        <v>25</v>
      </c>
      <c r="D21" s="235" t="s">
        <v>398</v>
      </c>
      <c r="E21" s="235" t="s">
        <v>222</v>
      </c>
      <c r="F21" s="487">
        <v>967.2</v>
      </c>
      <c r="G21" s="480">
        <v>958.6</v>
      </c>
      <c r="H21" s="303">
        <f t="shared" si="0"/>
        <v>0.99110835401157982</v>
      </c>
      <c r="I21" s="8"/>
      <c r="J21" s="8"/>
      <c r="K21" s="419"/>
      <c r="L21" s="367"/>
      <c r="M21" s="294"/>
    </row>
    <row r="22" spans="1:13" ht="22.2" customHeight="1">
      <c r="A22" s="426" t="s">
        <v>291</v>
      </c>
      <c r="B22" s="235" t="s">
        <v>532</v>
      </c>
      <c r="C22" s="235" t="s">
        <v>25</v>
      </c>
      <c r="D22" s="235" t="s">
        <v>398</v>
      </c>
      <c r="E22" s="235" t="s">
        <v>290</v>
      </c>
      <c r="F22" s="487">
        <f>F23</f>
        <v>0</v>
      </c>
      <c r="G22" s="480">
        <v>0</v>
      </c>
      <c r="H22" s="303">
        <v>0</v>
      </c>
      <c r="I22" s="8"/>
      <c r="J22" s="8"/>
      <c r="K22" s="419"/>
      <c r="L22" s="367"/>
      <c r="M22" s="294"/>
    </row>
    <row r="23" spans="1:13" ht="18" customHeight="1">
      <c r="A23" s="427" t="s">
        <v>533</v>
      </c>
      <c r="B23" s="235" t="s">
        <v>532</v>
      </c>
      <c r="C23" s="235" t="s">
        <v>25</v>
      </c>
      <c r="D23" s="235" t="s">
        <v>398</v>
      </c>
      <c r="E23" s="235" t="s">
        <v>292</v>
      </c>
      <c r="F23" s="487">
        <v>0</v>
      </c>
      <c r="G23" s="480">
        <v>0</v>
      </c>
      <c r="H23" s="303">
        <v>0</v>
      </c>
      <c r="I23" s="8"/>
      <c r="J23" s="8"/>
      <c r="K23" s="419"/>
      <c r="L23" s="367"/>
      <c r="M23" s="294"/>
    </row>
    <row r="24" spans="1:13" ht="22.8">
      <c r="A24" s="424" t="s">
        <v>200</v>
      </c>
      <c r="B24" s="271" t="s">
        <v>532</v>
      </c>
      <c r="C24" s="271" t="s">
        <v>25</v>
      </c>
      <c r="D24" s="253" t="s">
        <v>399</v>
      </c>
      <c r="E24" s="271"/>
      <c r="F24" s="485">
        <f>F25</f>
        <v>118.4</v>
      </c>
      <c r="G24" s="485">
        <f>G25</f>
        <v>101.5</v>
      </c>
      <c r="H24" s="303">
        <f t="shared" si="0"/>
        <v>0.85726351351351349</v>
      </c>
      <c r="I24" s="8"/>
      <c r="J24" s="8"/>
      <c r="K24" s="419"/>
      <c r="L24" s="367"/>
      <c r="M24" s="294"/>
    </row>
    <row r="25" spans="1:13" ht="52.8" customHeight="1">
      <c r="A25" s="234" t="s">
        <v>284</v>
      </c>
      <c r="B25" s="235" t="s">
        <v>532</v>
      </c>
      <c r="C25" s="235" t="s">
        <v>25</v>
      </c>
      <c r="D25" s="235" t="s">
        <v>399</v>
      </c>
      <c r="E25" s="235" t="s">
        <v>282</v>
      </c>
      <c r="F25" s="486">
        <f>F26</f>
        <v>118.4</v>
      </c>
      <c r="G25" s="486">
        <f>G26</f>
        <v>101.5</v>
      </c>
      <c r="H25" s="303">
        <f t="shared" si="0"/>
        <v>0.85726351351351349</v>
      </c>
      <c r="I25" s="8"/>
      <c r="J25" s="8"/>
      <c r="K25" s="419"/>
      <c r="L25" s="367"/>
      <c r="M25" s="294"/>
    </row>
    <row r="26" spans="1:13" ht="26.4" customHeight="1">
      <c r="A26" s="234" t="s">
        <v>285</v>
      </c>
      <c r="B26" s="235" t="s">
        <v>532</v>
      </c>
      <c r="C26" s="235" t="s">
        <v>25</v>
      </c>
      <c r="D26" s="235" t="s">
        <v>399</v>
      </c>
      <c r="E26" s="235" t="s">
        <v>283</v>
      </c>
      <c r="F26" s="486">
        <v>118.4</v>
      </c>
      <c r="G26" s="480">
        <v>101.5</v>
      </c>
      <c r="H26" s="303">
        <f t="shared" si="0"/>
        <v>0.85726351351351349</v>
      </c>
      <c r="I26" s="8"/>
      <c r="J26" s="8"/>
      <c r="K26" s="419"/>
      <c r="L26" s="367"/>
      <c r="M26" s="294"/>
    </row>
    <row r="27" spans="1:13">
      <c r="A27" s="447" t="s">
        <v>65</v>
      </c>
      <c r="B27" s="235" t="s">
        <v>532</v>
      </c>
      <c r="C27" s="235" t="s">
        <v>11</v>
      </c>
      <c r="D27" s="235"/>
      <c r="E27" s="235"/>
      <c r="F27" s="485">
        <f>F28</f>
        <v>84</v>
      </c>
      <c r="G27" s="485">
        <f>G28</f>
        <v>84</v>
      </c>
      <c r="H27" s="303">
        <f t="shared" si="0"/>
        <v>1</v>
      </c>
      <c r="I27" s="8"/>
      <c r="J27" s="8"/>
      <c r="K27" s="419"/>
      <c r="L27" s="367"/>
      <c r="M27" s="294"/>
    </row>
    <row r="28" spans="1:13" ht="34.200000000000003">
      <c r="A28" s="256" t="s">
        <v>225</v>
      </c>
      <c r="B28" s="253" t="s">
        <v>532</v>
      </c>
      <c r="C28" s="253" t="s">
        <v>159</v>
      </c>
      <c r="D28" s="253" t="s">
        <v>373</v>
      </c>
      <c r="E28" s="253"/>
      <c r="F28" s="485">
        <f t="shared" ref="F28:G28" si="2">F30</f>
        <v>84</v>
      </c>
      <c r="G28" s="485">
        <f t="shared" si="2"/>
        <v>84</v>
      </c>
      <c r="H28" s="303">
        <f t="shared" si="0"/>
        <v>1</v>
      </c>
      <c r="I28" s="8"/>
      <c r="J28" s="8"/>
      <c r="K28" s="419"/>
      <c r="L28" s="367"/>
      <c r="M28" s="294"/>
    </row>
    <row r="29" spans="1:13" ht="19.2" customHeight="1">
      <c r="A29" s="428" t="s">
        <v>291</v>
      </c>
      <c r="B29" s="235" t="s">
        <v>532</v>
      </c>
      <c r="C29" s="235" t="s">
        <v>159</v>
      </c>
      <c r="D29" s="235" t="s">
        <v>373</v>
      </c>
      <c r="E29" s="235" t="s">
        <v>290</v>
      </c>
      <c r="F29" s="486">
        <f>F30</f>
        <v>84</v>
      </c>
      <c r="G29" s="486">
        <f>G30</f>
        <v>84</v>
      </c>
      <c r="H29" s="303">
        <f t="shared" si="0"/>
        <v>1</v>
      </c>
      <c r="I29" s="8"/>
      <c r="J29" s="8"/>
      <c r="K29" s="419"/>
      <c r="L29" s="367"/>
      <c r="M29" s="294"/>
    </row>
    <row r="30" spans="1:13" ht="16.2" customHeight="1">
      <c r="A30" s="428" t="s">
        <v>293</v>
      </c>
      <c r="B30" s="235" t="s">
        <v>532</v>
      </c>
      <c r="C30" s="235" t="s">
        <v>159</v>
      </c>
      <c r="D30" s="235" t="s">
        <v>373</v>
      </c>
      <c r="E30" s="235" t="s">
        <v>292</v>
      </c>
      <c r="F30" s="486">
        <v>84</v>
      </c>
      <c r="G30" s="486">
        <v>84</v>
      </c>
      <c r="H30" s="303">
        <f t="shared" si="0"/>
        <v>1</v>
      </c>
      <c r="I30" s="8"/>
      <c r="J30" s="8"/>
      <c r="K30" s="419"/>
      <c r="L30" s="367"/>
      <c r="M30" s="294"/>
    </row>
    <row r="31" spans="1:13">
      <c r="A31" s="447" t="s">
        <v>65</v>
      </c>
      <c r="B31" s="253" t="s">
        <v>534</v>
      </c>
      <c r="C31" s="253" t="s">
        <v>11</v>
      </c>
      <c r="D31" s="235"/>
      <c r="E31" s="235"/>
      <c r="F31" s="485">
        <f t="shared" ref="F31:G33" si="3">F32</f>
        <v>0</v>
      </c>
      <c r="G31" s="485">
        <f t="shared" si="3"/>
        <v>0</v>
      </c>
      <c r="H31" s="303">
        <v>0</v>
      </c>
      <c r="I31" s="8"/>
      <c r="J31" s="8"/>
      <c r="K31" s="419"/>
      <c r="L31" s="367"/>
      <c r="M31" s="294"/>
    </row>
    <row r="32" spans="1:13">
      <c r="A32" s="256" t="s">
        <v>455</v>
      </c>
      <c r="B32" s="257" t="s">
        <v>534</v>
      </c>
      <c r="C32" s="253" t="s">
        <v>456</v>
      </c>
      <c r="D32" s="253" t="s">
        <v>535</v>
      </c>
      <c r="E32" s="253"/>
      <c r="F32" s="485">
        <f t="shared" si="3"/>
        <v>0</v>
      </c>
      <c r="G32" s="485">
        <f t="shared" si="3"/>
        <v>0</v>
      </c>
      <c r="H32" s="303">
        <v>0</v>
      </c>
      <c r="I32" s="8"/>
      <c r="J32" s="8"/>
      <c r="K32" s="419"/>
      <c r="L32" s="367"/>
      <c r="M32" s="294"/>
    </row>
    <row r="33" spans="1:13">
      <c r="A33" s="429" t="s">
        <v>536</v>
      </c>
      <c r="B33" s="236" t="s">
        <v>534</v>
      </c>
      <c r="C33" s="236" t="s">
        <v>456</v>
      </c>
      <c r="D33" s="236" t="s">
        <v>535</v>
      </c>
      <c r="E33" s="236" t="s">
        <v>288</v>
      </c>
      <c r="F33" s="486">
        <f t="shared" si="3"/>
        <v>0</v>
      </c>
      <c r="G33" s="486">
        <f t="shared" si="3"/>
        <v>0</v>
      </c>
      <c r="H33" s="303">
        <v>0</v>
      </c>
      <c r="I33" s="8"/>
      <c r="J33" s="8"/>
      <c r="K33" s="419"/>
      <c r="L33" s="367"/>
      <c r="M33" s="294"/>
    </row>
    <row r="34" spans="1:13" ht="24">
      <c r="A34" s="429" t="s">
        <v>537</v>
      </c>
      <c r="B34" s="236" t="s">
        <v>534</v>
      </c>
      <c r="C34" s="236" t="s">
        <v>456</v>
      </c>
      <c r="D34" s="236" t="s">
        <v>535</v>
      </c>
      <c r="E34" s="236" t="s">
        <v>222</v>
      </c>
      <c r="F34" s="486">
        <v>0</v>
      </c>
      <c r="G34" s="486">
        <v>0</v>
      </c>
      <c r="H34" s="303">
        <v>0</v>
      </c>
      <c r="I34" s="8"/>
      <c r="J34" s="8"/>
      <c r="K34" s="419"/>
      <c r="L34" s="367"/>
      <c r="M34" s="294"/>
    </row>
    <row r="35" spans="1:13" ht="24">
      <c r="A35" s="430" t="s">
        <v>538</v>
      </c>
      <c r="B35" s="257" t="s">
        <v>534</v>
      </c>
      <c r="C35" s="236"/>
      <c r="D35" s="236"/>
      <c r="E35" s="236"/>
      <c r="F35" s="509"/>
      <c r="G35" s="511"/>
      <c r="H35" s="303"/>
      <c r="I35" s="8"/>
      <c r="J35" s="8"/>
      <c r="K35" s="419"/>
      <c r="L35" s="367"/>
      <c r="M35" s="294"/>
    </row>
    <row r="36" spans="1:13">
      <c r="A36" s="431" t="s">
        <v>65</v>
      </c>
      <c r="B36" s="257" t="s">
        <v>534</v>
      </c>
      <c r="C36" s="257" t="s">
        <v>456</v>
      </c>
      <c r="D36" s="236"/>
      <c r="E36" s="236"/>
      <c r="F36" s="485"/>
      <c r="G36" s="510"/>
      <c r="H36" s="303">
        <v>0</v>
      </c>
      <c r="I36" s="8"/>
      <c r="J36" s="8"/>
      <c r="K36" s="419"/>
      <c r="L36" s="367"/>
      <c r="M36" s="294"/>
    </row>
    <row r="37" spans="1:13">
      <c r="A37" s="431" t="s">
        <v>539</v>
      </c>
      <c r="B37" s="257" t="s">
        <v>534</v>
      </c>
      <c r="C37" s="257" t="s">
        <v>456</v>
      </c>
      <c r="D37" s="257" t="s">
        <v>540</v>
      </c>
      <c r="E37" s="257"/>
      <c r="F37" s="485">
        <v>332.6</v>
      </c>
      <c r="G37" s="485">
        <v>0</v>
      </c>
      <c r="H37" s="303">
        <f t="shared" si="0"/>
        <v>0</v>
      </c>
      <c r="I37" s="8"/>
      <c r="J37" s="8"/>
      <c r="K37" s="419"/>
      <c r="L37" s="367"/>
      <c r="M37" s="294"/>
    </row>
    <row r="38" spans="1:13" ht="24">
      <c r="A38" s="429" t="s">
        <v>541</v>
      </c>
      <c r="B38" s="236" t="s">
        <v>534</v>
      </c>
      <c r="C38" s="236" t="s">
        <v>456</v>
      </c>
      <c r="D38" s="236" t="s">
        <v>540</v>
      </c>
      <c r="E38" s="236" t="s">
        <v>283</v>
      </c>
      <c r="F38" s="486">
        <v>156.30000000000001</v>
      </c>
      <c r="G38" s="480">
        <v>0</v>
      </c>
      <c r="H38" s="303">
        <f t="shared" si="0"/>
        <v>0</v>
      </c>
      <c r="I38" s="8"/>
      <c r="J38" s="8"/>
      <c r="K38" s="419"/>
      <c r="L38" s="367"/>
      <c r="M38" s="294"/>
    </row>
    <row r="39" spans="1:13" ht="24">
      <c r="A39" s="429" t="s">
        <v>542</v>
      </c>
      <c r="B39" s="236" t="s">
        <v>534</v>
      </c>
      <c r="C39" s="236" t="s">
        <v>456</v>
      </c>
      <c r="D39" s="236" t="s">
        <v>540</v>
      </c>
      <c r="E39" s="236" t="s">
        <v>222</v>
      </c>
      <c r="F39" s="486">
        <v>176.3</v>
      </c>
      <c r="G39" s="480">
        <v>0</v>
      </c>
      <c r="H39" s="303">
        <f t="shared" si="0"/>
        <v>0</v>
      </c>
      <c r="I39" s="8"/>
      <c r="J39" s="8"/>
      <c r="K39" s="419"/>
      <c r="L39" s="367"/>
      <c r="M39" s="294"/>
    </row>
    <row r="40" spans="1:13" ht="36.6" thickBot="1">
      <c r="A40" s="448" t="s">
        <v>543</v>
      </c>
      <c r="B40" s="449" t="s">
        <v>544</v>
      </c>
      <c r="C40" s="449"/>
      <c r="D40" s="449"/>
      <c r="E40" s="449"/>
      <c r="F40" s="488">
        <f>F41+F101+F109+F125+F168+F180+F196+F207+F217</f>
        <v>126626.09999999998</v>
      </c>
      <c r="G40" s="488">
        <f>G41+G101+G109+G125+G168+G180+G196+G207+G217</f>
        <v>102287.4</v>
      </c>
      <c r="H40" s="303">
        <f t="shared" si="0"/>
        <v>0.80779081089917493</v>
      </c>
      <c r="I40" s="8"/>
      <c r="J40" s="8"/>
      <c r="K40" s="419"/>
      <c r="L40" s="367"/>
      <c r="M40" s="294"/>
    </row>
    <row r="41" spans="1:13">
      <c r="A41" s="447" t="s">
        <v>65</v>
      </c>
      <c r="B41" s="252" t="s">
        <v>544</v>
      </c>
      <c r="C41" s="252" t="s">
        <v>11</v>
      </c>
      <c r="D41" s="252"/>
      <c r="E41" s="252"/>
      <c r="F41" s="484">
        <f>F42+F66+F73+F57</f>
        <v>10755.7</v>
      </c>
      <c r="G41" s="484">
        <f>G42+G66+G73+G57</f>
        <v>10477.199999999999</v>
      </c>
      <c r="H41" s="303">
        <f t="shared" si="0"/>
        <v>0.97410675269856895</v>
      </c>
      <c r="I41" s="8"/>
      <c r="J41" s="8"/>
      <c r="K41" s="419"/>
      <c r="L41" s="367"/>
      <c r="M41" s="294"/>
    </row>
    <row r="42" spans="1:13" ht="45.6">
      <c r="A42" s="255" t="s">
        <v>221</v>
      </c>
      <c r="B42" s="253" t="s">
        <v>544</v>
      </c>
      <c r="C42" s="253" t="s">
        <v>40</v>
      </c>
      <c r="D42" s="253"/>
      <c r="E42" s="253"/>
      <c r="F42" s="485">
        <f>F43+F60</f>
        <v>9105</v>
      </c>
      <c r="G42" s="485">
        <f>G43+G60</f>
        <v>8938.9</v>
      </c>
      <c r="H42" s="303">
        <f t="shared" si="0"/>
        <v>0.98175727622185605</v>
      </c>
      <c r="I42" s="8"/>
      <c r="J42" s="8"/>
      <c r="K42" s="419"/>
      <c r="L42" s="367"/>
      <c r="M42" s="294"/>
    </row>
    <row r="43" spans="1:13" ht="34.200000000000003">
      <c r="A43" s="255" t="s">
        <v>402</v>
      </c>
      <c r="B43" s="253" t="s">
        <v>544</v>
      </c>
      <c r="C43" s="253" t="s">
        <v>40</v>
      </c>
      <c r="D43" s="253" t="s">
        <v>368</v>
      </c>
      <c r="E43" s="253"/>
      <c r="F43" s="485">
        <f>F44+F47+F54</f>
        <v>8238.1</v>
      </c>
      <c r="G43" s="485">
        <f>G44+G47+G54</f>
        <v>8073.0999999999995</v>
      </c>
      <c r="H43" s="303">
        <f t="shared" si="0"/>
        <v>0.97997110984328895</v>
      </c>
      <c r="I43" s="8"/>
      <c r="J43" s="8"/>
      <c r="K43" s="419"/>
      <c r="L43" s="367"/>
      <c r="M43" s="294"/>
    </row>
    <row r="44" spans="1:13" ht="34.200000000000003">
      <c r="A44" s="255" t="s">
        <v>545</v>
      </c>
      <c r="B44" s="253" t="s">
        <v>544</v>
      </c>
      <c r="C44" s="253" t="s">
        <v>40</v>
      </c>
      <c r="D44" s="253" t="s">
        <v>400</v>
      </c>
      <c r="E44" s="253"/>
      <c r="F44" s="485">
        <f t="shared" ref="F44:G44" si="4">F46</f>
        <v>1275.7</v>
      </c>
      <c r="G44" s="485">
        <f t="shared" si="4"/>
        <v>1257.7</v>
      </c>
      <c r="H44" s="303">
        <f t="shared" si="0"/>
        <v>0.98589009955318652</v>
      </c>
      <c r="I44" s="8"/>
      <c r="J44" s="8"/>
      <c r="K44" s="419"/>
      <c r="L44" s="367"/>
      <c r="M44" s="294"/>
    </row>
    <row r="45" spans="1:13" ht="48">
      <c r="A45" s="234" t="s">
        <v>286</v>
      </c>
      <c r="B45" s="235" t="s">
        <v>544</v>
      </c>
      <c r="C45" s="235" t="s">
        <v>40</v>
      </c>
      <c r="D45" s="235" t="s">
        <v>400</v>
      </c>
      <c r="E45" s="235" t="s">
        <v>282</v>
      </c>
      <c r="F45" s="486">
        <f>F46</f>
        <v>1275.7</v>
      </c>
      <c r="G45" s="486">
        <f>G46</f>
        <v>1257.7</v>
      </c>
      <c r="H45" s="303">
        <f t="shared" si="0"/>
        <v>0.98589009955318652</v>
      </c>
      <c r="I45" s="8"/>
      <c r="J45" s="8"/>
      <c r="K45" s="419"/>
      <c r="L45" s="367"/>
      <c r="M45" s="294"/>
    </row>
    <row r="46" spans="1:13" ht="24">
      <c r="A46" s="234" t="s">
        <v>287</v>
      </c>
      <c r="B46" s="235" t="s">
        <v>544</v>
      </c>
      <c r="C46" s="235" t="s">
        <v>40</v>
      </c>
      <c r="D46" s="235" t="s">
        <v>400</v>
      </c>
      <c r="E46" s="235" t="s">
        <v>283</v>
      </c>
      <c r="F46" s="486">
        <v>1275.7</v>
      </c>
      <c r="G46" s="486">
        <v>1257.7</v>
      </c>
      <c r="H46" s="303">
        <f t="shared" si="0"/>
        <v>0.98589009955318652</v>
      </c>
      <c r="I46" s="8"/>
      <c r="J46" s="8"/>
      <c r="K46" s="419"/>
      <c r="L46" s="367"/>
      <c r="M46" s="294"/>
    </row>
    <row r="47" spans="1:13" ht="34.200000000000003">
      <c r="A47" s="256" t="s">
        <v>152</v>
      </c>
      <c r="B47" s="253" t="s">
        <v>544</v>
      </c>
      <c r="C47" s="253" t="s">
        <v>40</v>
      </c>
      <c r="D47" s="253" t="s">
        <v>401</v>
      </c>
      <c r="E47" s="253"/>
      <c r="F47" s="485">
        <f>F48+F50+F52</f>
        <v>6671.5</v>
      </c>
      <c r="G47" s="485">
        <f>G48+G50+G52</f>
        <v>6524.5999999999995</v>
      </c>
      <c r="H47" s="303">
        <f t="shared" si="0"/>
        <v>0.977980963801244</v>
      </c>
      <c r="I47" s="8"/>
      <c r="J47" s="8"/>
      <c r="K47" s="419"/>
      <c r="L47" s="367"/>
      <c r="M47" s="294"/>
    </row>
    <row r="48" spans="1:13" ht="48">
      <c r="A48" s="234" t="s">
        <v>286</v>
      </c>
      <c r="B48" s="235" t="s">
        <v>544</v>
      </c>
      <c r="C48" s="235" t="s">
        <v>40</v>
      </c>
      <c r="D48" s="235" t="s">
        <v>401</v>
      </c>
      <c r="E48" s="235" t="s">
        <v>282</v>
      </c>
      <c r="F48" s="489">
        <f>F49</f>
        <v>5292.5</v>
      </c>
      <c r="G48" s="489">
        <f>G49</f>
        <v>5149.3999999999996</v>
      </c>
      <c r="H48" s="303">
        <f t="shared" si="0"/>
        <v>0.97296173830892763</v>
      </c>
      <c r="I48" s="8"/>
      <c r="J48" s="8"/>
      <c r="K48" s="419"/>
      <c r="L48" s="367"/>
      <c r="M48" s="294"/>
    </row>
    <row r="49" spans="1:13" ht="24">
      <c r="A49" s="234" t="s">
        <v>287</v>
      </c>
      <c r="B49" s="235" t="s">
        <v>544</v>
      </c>
      <c r="C49" s="235" t="s">
        <v>40</v>
      </c>
      <c r="D49" s="235" t="s">
        <v>401</v>
      </c>
      <c r="E49" s="235" t="s">
        <v>283</v>
      </c>
      <c r="F49" s="489">
        <f>5930.4-637.9</f>
        <v>5292.5</v>
      </c>
      <c r="G49" s="480">
        <v>5149.3999999999996</v>
      </c>
      <c r="H49" s="303">
        <f t="shared" si="0"/>
        <v>0.97296173830892763</v>
      </c>
      <c r="I49" s="8"/>
      <c r="J49" s="8"/>
      <c r="K49" s="419"/>
      <c r="L49" s="367"/>
      <c r="M49" s="294"/>
    </row>
    <row r="50" spans="1:13" ht="60">
      <c r="A50" s="426" t="s">
        <v>289</v>
      </c>
      <c r="B50" s="235" t="s">
        <v>544</v>
      </c>
      <c r="C50" s="235" t="s">
        <v>40</v>
      </c>
      <c r="D50" s="235" t="s">
        <v>401</v>
      </c>
      <c r="E50" s="235" t="s">
        <v>288</v>
      </c>
      <c r="F50" s="486">
        <f>F51</f>
        <v>1339.1</v>
      </c>
      <c r="G50" s="486">
        <f>G51</f>
        <v>1335.2</v>
      </c>
      <c r="H50" s="303">
        <f t="shared" si="0"/>
        <v>0.99708759614666576</v>
      </c>
      <c r="I50" s="8"/>
      <c r="J50" s="8"/>
      <c r="K50" s="419"/>
      <c r="L50" s="367"/>
      <c r="M50" s="294"/>
    </row>
    <row r="51" spans="1:13" ht="36">
      <c r="A51" s="234" t="s">
        <v>266</v>
      </c>
      <c r="B51" s="235" t="s">
        <v>544</v>
      </c>
      <c r="C51" s="235" t="s">
        <v>40</v>
      </c>
      <c r="D51" s="235" t="s">
        <v>401</v>
      </c>
      <c r="E51" s="235" t="s">
        <v>222</v>
      </c>
      <c r="F51" s="486">
        <v>1339.1</v>
      </c>
      <c r="G51" s="480">
        <v>1335.2</v>
      </c>
      <c r="H51" s="303">
        <f t="shared" si="0"/>
        <v>0.99708759614666576</v>
      </c>
      <c r="I51" s="8"/>
      <c r="J51" s="8"/>
      <c r="K51" s="419"/>
      <c r="L51" s="367"/>
      <c r="M51" s="294"/>
    </row>
    <row r="52" spans="1:13" ht="24">
      <c r="A52" s="426" t="s">
        <v>291</v>
      </c>
      <c r="B52" s="261" t="s">
        <v>544</v>
      </c>
      <c r="C52" s="261" t="s">
        <v>40</v>
      </c>
      <c r="D52" s="235" t="s">
        <v>401</v>
      </c>
      <c r="E52" s="235" t="s">
        <v>290</v>
      </c>
      <c r="F52" s="486">
        <v>39.9</v>
      </c>
      <c r="G52" s="480">
        <v>40</v>
      </c>
      <c r="H52" s="303">
        <f t="shared" si="0"/>
        <v>1.0025062656641603</v>
      </c>
      <c r="I52" s="8"/>
      <c r="J52" s="8"/>
      <c r="K52" s="419"/>
      <c r="L52" s="367"/>
      <c r="M52" s="294"/>
    </row>
    <row r="53" spans="1:13" ht="36">
      <c r="A53" s="427" t="s">
        <v>533</v>
      </c>
      <c r="B53" s="261" t="s">
        <v>544</v>
      </c>
      <c r="C53" s="261" t="s">
        <v>40</v>
      </c>
      <c r="D53" s="235" t="s">
        <v>401</v>
      </c>
      <c r="E53" s="235" t="s">
        <v>292</v>
      </c>
      <c r="F53" s="486">
        <v>6.9</v>
      </c>
      <c r="G53" s="480">
        <v>7</v>
      </c>
      <c r="H53" s="303">
        <f t="shared" si="0"/>
        <v>1.0144927536231882</v>
      </c>
      <c r="I53" s="8"/>
      <c r="J53" s="8"/>
      <c r="K53" s="419"/>
      <c r="L53" s="367"/>
      <c r="M53" s="294"/>
    </row>
    <row r="54" spans="1:13" ht="22.8">
      <c r="A54" s="432" t="s">
        <v>431</v>
      </c>
      <c r="B54" s="301" t="s">
        <v>544</v>
      </c>
      <c r="C54" s="301" t="s">
        <v>40</v>
      </c>
      <c r="D54" s="253" t="s">
        <v>432</v>
      </c>
      <c r="E54" s="253"/>
      <c r="F54" s="485">
        <f>F55</f>
        <v>290.89999999999998</v>
      </c>
      <c r="G54" s="485">
        <f>G55</f>
        <v>290.8</v>
      </c>
      <c r="H54" s="303">
        <f t="shared" si="0"/>
        <v>0.99965623925747693</v>
      </c>
      <c r="I54" s="8"/>
      <c r="J54" s="8"/>
      <c r="K54" s="419"/>
      <c r="L54" s="367"/>
      <c r="M54" s="294"/>
    </row>
    <row r="55" spans="1:13">
      <c r="A55" s="425" t="s">
        <v>433</v>
      </c>
      <c r="B55" s="261" t="s">
        <v>544</v>
      </c>
      <c r="C55" s="261" t="s">
        <v>40</v>
      </c>
      <c r="D55" s="235" t="s">
        <v>432</v>
      </c>
      <c r="E55" s="235" t="s">
        <v>282</v>
      </c>
      <c r="F55" s="486">
        <f>F56</f>
        <v>290.89999999999998</v>
      </c>
      <c r="G55" s="486">
        <f>G56</f>
        <v>290.8</v>
      </c>
      <c r="H55" s="303">
        <f t="shared" si="0"/>
        <v>0.99965623925747693</v>
      </c>
      <c r="I55" s="8"/>
      <c r="J55" s="8"/>
      <c r="K55" s="419"/>
      <c r="L55" s="367"/>
      <c r="M55" s="294"/>
    </row>
    <row r="56" spans="1:13">
      <c r="A56" s="302" t="s">
        <v>434</v>
      </c>
      <c r="B56" s="261" t="s">
        <v>544</v>
      </c>
      <c r="C56" s="261" t="s">
        <v>40</v>
      </c>
      <c r="D56" s="235" t="s">
        <v>432</v>
      </c>
      <c r="E56" s="235" t="s">
        <v>283</v>
      </c>
      <c r="F56" s="486">
        <v>290.89999999999998</v>
      </c>
      <c r="G56" s="480">
        <v>290.8</v>
      </c>
      <c r="H56" s="303">
        <f t="shared" si="0"/>
        <v>0.99965623925747693</v>
      </c>
      <c r="I56" s="8"/>
      <c r="J56" s="8"/>
      <c r="K56" s="419"/>
      <c r="L56" s="367"/>
      <c r="M56" s="294"/>
    </row>
    <row r="57" spans="1:13" ht="57">
      <c r="A57" s="256" t="s">
        <v>405</v>
      </c>
      <c r="B57" s="257" t="s">
        <v>544</v>
      </c>
      <c r="C57" s="257" t="s">
        <v>159</v>
      </c>
      <c r="D57" s="257" t="s">
        <v>406</v>
      </c>
      <c r="E57" s="257"/>
      <c r="F57" s="490">
        <f>F58</f>
        <v>7.5</v>
      </c>
      <c r="G57" s="490">
        <f>G58</f>
        <v>7.5</v>
      </c>
      <c r="H57" s="303">
        <f t="shared" si="0"/>
        <v>1</v>
      </c>
      <c r="I57" s="8"/>
      <c r="J57" s="8"/>
      <c r="K57" s="419"/>
      <c r="L57" s="367"/>
      <c r="M57" s="294"/>
    </row>
    <row r="58" spans="1:13" ht="60">
      <c r="A58" s="426" t="s">
        <v>289</v>
      </c>
      <c r="B58" s="235" t="s">
        <v>544</v>
      </c>
      <c r="C58" s="235" t="s">
        <v>159</v>
      </c>
      <c r="D58" s="236" t="s">
        <v>406</v>
      </c>
      <c r="E58" s="235" t="s">
        <v>288</v>
      </c>
      <c r="F58" s="486">
        <f>F59</f>
        <v>7.5</v>
      </c>
      <c r="G58" s="486">
        <f>G59</f>
        <v>7.5</v>
      </c>
      <c r="H58" s="303">
        <f t="shared" si="0"/>
        <v>1</v>
      </c>
      <c r="I58" s="8"/>
      <c r="J58" s="8"/>
      <c r="K58" s="419"/>
      <c r="L58" s="367"/>
      <c r="M58" s="294"/>
    </row>
    <row r="59" spans="1:13" ht="36">
      <c r="A59" s="234" t="s">
        <v>266</v>
      </c>
      <c r="B59" s="235" t="s">
        <v>544</v>
      </c>
      <c r="C59" s="235" t="s">
        <v>159</v>
      </c>
      <c r="D59" s="236" t="s">
        <v>406</v>
      </c>
      <c r="E59" s="235" t="s">
        <v>222</v>
      </c>
      <c r="F59" s="486">
        <v>7.5</v>
      </c>
      <c r="G59" s="480">
        <v>7.5</v>
      </c>
      <c r="H59" s="303">
        <f t="shared" si="0"/>
        <v>1</v>
      </c>
      <c r="I59" s="8"/>
      <c r="J59" s="8"/>
      <c r="K59" s="419"/>
      <c r="L59" s="367"/>
      <c r="M59" s="294"/>
    </row>
    <row r="60" spans="1:13" ht="45.6">
      <c r="A60" s="256" t="s">
        <v>407</v>
      </c>
      <c r="B60" s="253" t="s">
        <v>544</v>
      </c>
      <c r="C60" s="253" t="s">
        <v>40</v>
      </c>
      <c r="D60" s="257" t="s">
        <v>408</v>
      </c>
      <c r="E60" s="253"/>
      <c r="F60" s="485">
        <f>F61</f>
        <v>866.9</v>
      </c>
      <c r="G60" s="485">
        <f>G61</f>
        <v>865.8</v>
      </c>
      <c r="H60" s="303">
        <f t="shared" si="0"/>
        <v>0.99873111085476984</v>
      </c>
      <c r="I60" s="8"/>
      <c r="J60" s="8"/>
      <c r="K60" s="419"/>
      <c r="L60" s="367"/>
      <c r="M60" s="294"/>
    </row>
    <row r="61" spans="1:13" ht="24">
      <c r="A61" s="433" t="s">
        <v>153</v>
      </c>
      <c r="B61" s="235" t="s">
        <v>544</v>
      </c>
      <c r="C61" s="235" t="s">
        <v>40</v>
      </c>
      <c r="D61" s="236" t="s">
        <v>408</v>
      </c>
      <c r="E61" s="235"/>
      <c r="F61" s="486">
        <f>F62+F64</f>
        <v>866.9</v>
      </c>
      <c r="G61" s="486">
        <f>G62+G64</f>
        <v>865.8</v>
      </c>
      <c r="H61" s="303">
        <f t="shared" si="0"/>
        <v>0.99873111085476984</v>
      </c>
      <c r="I61" s="8"/>
      <c r="J61" s="8"/>
      <c r="K61" s="419"/>
      <c r="L61" s="367"/>
      <c r="M61" s="294"/>
    </row>
    <row r="62" spans="1:13" ht="48">
      <c r="A62" s="234" t="s">
        <v>286</v>
      </c>
      <c r="B62" s="235" t="s">
        <v>544</v>
      </c>
      <c r="C62" s="235" t="s">
        <v>40</v>
      </c>
      <c r="D62" s="236" t="s">
        <v>408</v>
      </c>
      <c r="E62" s="235" t="s">
        <v>282</v>
      </c>
      <c r="F62" s="486">
        <f>F63</f>
        <v>798.6</v>
      </c>
      <c r="G62" s="480">
        <f>G63</f>
        <v>797.4</v>
      </c>
      <c r="H62" s="303">
        <f t="shared" si="0"/>
        <v>0.99849737039819675</v>
      </c>
      <c r="I62" s="8"/>
      <c r="J62" s="8"/>
      <c r="K62" s="419"/>
      <c r="L62" s="367"/>
      <c r="M62" s="294"/>
    </row>
    <row r="63" spans="1:13" ht="24">
      <c r="A63" s="234" t="s">
        <v>287</v>
      </c>
      <c r="B63" s="235" t="s">
        <v>544</v>
      </c>
      <c r="C63" s="235" t="s">
        <v>40</v>
      </c>
      <c r="D63" s="236" t="s">
        <v>408</v>
      </c>
      <c r="E63" s="235" t="s">
        <v>283</v>
      </c>
      <c r="F63" s="486">
        <v>798.6</v>
      </c>
      <c r="G63" s="480">
        <v>797.4</v>
      </c>
      <c r="H63" s="303">
        <f t="shared" si="0"/>
        <v>0.99849737039819675</v>
      </c>
      <c r="I63" s="8"/>
      <c r="J63" s="8"/>
      <c r="K63" s="419"/>
      <c r="L63" s="367"/>
      <c r="M63" s="294"/>
    </row>
    <row r="64" spans="1:13" ht="60">
      <c r="A64" s="426" t="s">
        <v>289</v>
      </c>
      <c r="B64" s="235" t="s">
        <v>544</v>
      </c>
      <c r="C64" s="235" t="s">
        <v>40</v>
      </c>
      <c r="D64" s="236" t="s">
        <v>408</v>
      </c>
      <c r="E64" s="235" t="s">
        <v>288</v>
      </c>
      <c r="F64" s="486">
        <f>F65</f>
        <v>68.3</v>
      </c>
      <c r="G64" s="480">
        <f>G65</f>
        <v>68.400000000000006</v>
      </c>
      <c r="H64" s="303">
        <f t="shared" si="0"/>
        <v>1.0014641288433384</v>
      </c>
      <c r="I64" s="8"/>
      <c r="J64" s="8"/>
      <c r="K64" s="419"/>
      <c r="L64" s="367"/>
      <c r="M64" s="294"/>
    </row>
    <row r="65" spans="1:13" ht="36">
      <c r="A65" s="234" t="s">
        <v>266</v>
      </c>
      <c r="B65" s="235" t="s">
        <v>544</v>
      </c>
      <c r="C65" s="235" t="s">
        <v>40</v>
      </c>
      <c r="D65" s="236" t="s">
        <v>408</v>
      </c>
      <c r="E65" s="235" t="s">
        <v>222</v>
      </c>
      <c r="F65" s="486">
        <v>68.3</v>
      </c>
      <c r="G65" s="480">
        <v>68.400000000000006</v>
      </c>
      <c r="H65" s="303">
        <f t="shared" si="0"/>
        <v>1.0014641288433384</v>
      </c>
      <c r="I65" s="8"/>
      <c r="J65" s="8"/>
      <c r="K65" s="419"/>
      <c r="L65" s="367"/>
      <c r="M65" s="294"/>
    </row>
    <row r="66" spans="1:13">
      <c r="A66" s="256" t="s">
        <v>265</v>
      </c>
      <c r="B66" s="253" t="s">
        <v>544</v>
      </c>
      <c r="C66" s="253" t="s">
        <v>158</v>
      </c>
      <c r="D66" s="253"/>
      <c r="E66" s="253"/>
      <c r="F66" s="485">
        <f t="shared" ref="F66:G66" si="5">F67</f>
        <v>20</v>
      </c>
      <c r="G66" s="485">
        <f t="shared" si="5"/>
        <v>0</v>
      </c>
      <c r="H66" s="303">
        <f t="shared" si="0"/>
        <v>0</v>
      </c>
      <c r="I66" s="8"/>
      <c r="J66" s="8"/>
      <c r="K66" s="419"/>
      <c r="L66" s="367"/>
      <c r="M66" s="294"/>
    </row>
    <row r="67" spans="1:13">
      <c r="A67" s="255" t="s">
        <v>146</v>
      </c>
      <c r="B67" s="253" t="s">
        <v>544</v>
      </c>
      <c r="C67" s="257" t="s">
        <v>158</v>
      </c>
      <c r="D67" s="257" t="s">
        <v>365</v>
      </c>
      <c r="E67" s="257"/>
      <c r="F67" s="490">
        <f>F69</f>
        <v>20</v>
      </c>
      <c r="G67" s="490">
        <f>G69</f>
        <v>0</v>
      </c>
      <c r="H67" s="303">
        <f t="shared" si="0"/>
        <v>0</v>
      </c>
      <c r="I67" s="8"/>
      <c r="J67" s="8"/>
      <c r="K67" s="419"/>
      <c r="L67" s="367"/>
      <c r="M67" s="294"/>
    </row>
    <row r="68" spans="1:13" ht="24">
      <c r="A68" s="434" t="s">
        <v>291</v>
      </c>
      <c r="B68" s="235" t="s">
        <v>544</v>
      </c>
      <c r="C68" s="236" t="s">
        <v>158</v>
      </c>
      <c r="D68" s="236" t="s">
        <v>365</v>
      </c>
      <c r="E68" s="236" t="s">
        <v>290</v>
      </c>
      <c r="F68" s="486">
        <f>F69</f>
        <v>20</v>
      </c>
      <c r="G68" s="486">
        <f>G69</f>
        <v>0</v>
      </c>
      <c r="H68" s="303">
        <f t="shared" si="0"/>
        <v>0</v>
      </c>
      <c r="I68" s="8"/>
      <c r="J68" s="8"/>
      <c r="K68" s="419"/>
      <c r="L68" s="367"/>
      <c r="M68" s="294"/>
    </row>
    <row r="69" spans="1:13">
      <c r="A69" s="234" t="s">
        <v>223</v>
      </c>
      <c r="B69" s="235" t="s">
        <v>544</v>
      </c>
      <c r="C69" s="236" t="s">
        <v>158</v>
      </c>
      <c r="D69" s="236" t="s">
        <v>365</v>
      </c>
      <c r="E69" s="236" t="s">
        <v>224</v>
      </c>
      <c r="F69" s="486">
        <v>20</v>
      </c>
      <c r="G69" s="486">
        <v>0</v>
      </c>
      <c r="H69" s="303">
        <f t="shared" si="0"/>
        <v>0</v>
      </c>
      <c r="I69" s="8"/>
      <c r="J69" s="8"/>
      <c r="K69" s="419"/>
      <c r="L69" s="367"/>
      <c r="M69" s="294"/>
    </row>
    <row r="70" spans="1:13" ht="57">
      <c r="A70" s="256" t="s">
        <v>405</v>
      </c>
      <c r="B70" s="257" t="s">
        <v>544</v>
      </c>
      <c r="C70" s="257" t="s">
        <v>159</v>
      </c>
      <c r="D70" s="257" t="s">
        <v>406</v>
      </c>
      <c r="E70" s="257"/>
      <c r="F70" s="490">
        <f>F71</f>
        <v>7.5</v>
      </c>
      <c r="G70" s="490">
        <f>G71</f>
        <v>7.5</v>
      </c>
      <c r="H70" s="303">
        <f t="shared" si="0"/>
        <v>1</v>
      </c>
      <c r="I70" s="8"/>
      <c r="J70" s="8"/>
      <c r="K70" s="419"/>
      <c r="L70" s="367"/>
      <c r="M70" s="294"/>
    </row>
    <row r="71" spans="1:13" ht="60">
      <c r="A71" s="426" t="s">
        <v>289</v>
      </c>
      <c r="B71" s="235" t="s">
        <v>544</v>
      </c>
      <c r="C71" s="235" t="s">
        <v>159</v>
      </c>
      <c r="D71" s="236" t="s">
        <v>406</v>
      </c>
      <c r="E71" s="235" t="s">
        <v>288</v>
      </c>
      <c r="F71" s="486">
        <f>F72</f>
        <v>7.5</v>
      </c>
      <c r="G71" s="486">
        <f>G72</f>
        <v>7.5</v>
      </c>
      <c r="H71" s="303">
        <f t="shared" si="0"/>
        <v>1</v>
      </c>
      <c r="I71" s="8"/>
      <c r="J71" s="8"/>
      <c r="K71" s="419"/>
      <c r="L71" s="367"/>
      <c r="M71" s="294"/>
    </row>
    <row r="72" spans="1:13" ht="36">
      <c r="A72" s="234" t="s">
        <v>266</v>
      </c>
      <c r="B72" s="235" t="s">
        <v>544</v>
      </c>
      <c r="C72" s="235" t="s">
        <v>159</v>
      </c>
      <c r="D72" s="236" t="s">
        <v>406</v>
      </c>
      <c r="E72" s="235" t="s">
        <v>222</v>
      </c>
      <c r="F72" s="486">
        <v>7.5</v>
      </c>
      <c r="G72" s="480">
        <v>7.5</v>
      </c>
      <c r="H72" s="303">
        <f t="shared" si="0"/>
        <v>1</v>
      </c>
      <c r="I72" s="8"/>
      <c r="J72" s="8"/>
      <c r="K72" s="419"/>
      <c r="L72" s="367"/>
      <c r="M72" s="294"/>
    </row>
    <row r="73" spans="1:13">
      <c r="A73" s="256" t="s">
        <v>26</v>
      </c>
      <c r="B73" s="253" t="s">
        <v>544</v>
      </c>
      <c r="C73" s="253" t="s">
        <v>159</v>
      </c>
      <c r="D73" s="253"/>
      <c r="E73" s="253"/>
      <c r="F73" s="485">
        <f>F77+F80+F83+F92+F89+F95+F74+F98+F86</f>
        <v>1623.1999999999998</v>
      </c>
      <c r="G73" s="485">
        <f>G77+G80+G83+G92+G89+G95+G74+G98+G86</f>
        <v>1530.7999999999997</v>
      </c>
      <c r="H73" s="303">
        <f t="shared" si="0"/>
        <v>0.9430754066042385</v>
      </c>
      <c r="I73" s="8"/>
      <c r="J73" s="8"/>
      <c r="K73" s="419"/>
      <c r="L73" s="367"/>
      <c r="M73" s="294"/>
    </row>
    <row r="74" spans="1:13" ht="34.200000000000003">
      <c r="A74" s="256" t="s">
        <v>147</v>
      </c>
      <c r="B74" s="253" t="s">
        <v>544</v>
      </c>
      <c r="C74" s="253" t="s">
        <v>159</v>
      </c>
      <c r="D74" s="253" t="s">
        <v>369</v>
      </c>
      <c r="E74" s="253"/>
      <c r="F74" s="485">
        <f t="shared" ref="F74:G74" si="6">F76</f>
        <v>100</v>
      </c>
      <c r="G74" s="485">
        <f t="shared" si="6"/>
        <v>99.1</v>
      </c>
      <c r="H74" s="303">
        <f t="shared" ref="H74:H134" si="7">G74/F74</f>
        <v>0.99099999999999999</v>
      </c>
      <c r="I74" s="8"/>
      <c r="J74" s="8"/>
      <c r="K74" s="419"/>
      <c r="L74" s="367"/>
      <c r="M74" s="294"/>
    </row>
    <row r="75" spans="1:13" ht="60">
      <c r="A75" s="426" t="s">
        <v>289</v>
      </c>
      <c r="B75" s="235" t="s">
        <v>544</v>
      </c>
      <c r="C75" s="235" t="s">
        <v>159</v>
      </c>
      <c r="D75" s="235" t="s">
        <v>369</v>
      </c>
      <c r="E75" s="235" t="s">
        <v>288</v>
      </c>
      <c r="F75" s="486">
        <f>F76</f>
        <v>100</v>
      </c>
      <c r="G75" s="486">
        <f>G76</f>
        <v>99.1</v>
      </c>
      <c r="H75" s="303">
        <f t="shared" si="7"/>
        <v>0.99099999999999999</v>
      </c>
      <c r="I75" s="8"/>
      <c r="J75" s="8"/>
      <c r="K75" s="419"/>
      <c r="L75" s="367"/>
      <c r="M75" s="294"/>
    </row>
    <row r="76" spans="1:13" ht="36">
      <c r="A76" s="234" t="s">
        <v>266</v>
      </c>
      <c r="B76" s="235" t="s">
        <v>544</v>
      </c>
      <c r="C76" s="235" t="s">
        <v>159</v>
      </c>
      <c r="D76" s="235" t="s">
        <v>369</v>
      </c>
      <c r="E76" s="235" t="s">
        <v>222</v>
      </c>
      <c r="F76" s="486">
        <v>100</v>
      </c>
      <c r="G76" s="486">
        <v>99.1</v>
      </c>
      <c r="H76" s="303">
        <f t="shared" si="7"/>
        <v>0.99099999999999999</v>
      </c>
      <c r="I76" s="8"/>
      <c r="J76" s="8"/>
      <c r="K76" s="419"/>
      <c r="L76" s="367"/>
      <c r="M76" s="294"/>
    </row>
    <row r="77" spans="1:13" ht="21.6" customHeight="1">
      <c r="A77" s="256" t="s">
        <v>332</v>
      </c>
      <c r="B77" s="253" t="s">
        <v>544</v>
      </c>
      <c r="C77" s="253" t="s">
        <v>159</v>
      </c>
      <c r="D77" s="253" t="s">
        <v>370</v>
      </c>
      <c r="E77" s="253"/>
      <c r="F77" s="485">
        <f t="shared" ref="F77:G77" si="8">F79</f>
        <v>496.4</v>
      </c>
      <c r="G77" s="485">
        <f t="shared" si="8"/>
        <v>496.2</v>
      </c>
      <c r="H77" s="303">
        <f t="shared" si="7"/>
        <v>0.99959709911361805</v>
      </c>
      <c r="I77" s="8"/>
      <c r="J77" s="8"/>
      <c r="K77" s="419"/>
      <c r="L77" s="367"/>
      <c r="M77" s="294"/>
    </row>
    <row r="78" spans="1:13" ht="60">
      <c r="A78" s="426" t="s">
        <v>289</v>
      </c>
      <c r="B78" s="235" t="s">
        <v>544</v>
      </c>
      <c r="C78" s="235" t="s">
        <v>159</v>
      </c>
      <c r="D78" s="235" t="s">
        <v>370</v>
      </c>
      <c r="E78" s="235" t="s">
        <v>288</v>
      </c>
      <c r="F78" s="486">
        <f>F79</f>
        <v>496.4</v>
      </c>
      <c r="G78" s="486">
        <f>G79</f>
        <v>496.2</v>
      </c>
      <c r="H78" s="303">
        <f t="shared" si="7"/>
        <v>0.99959709911361805</v>
      </c>
      <c r="I78" s="8"/>
      <c r="J78" s="8"/>
      <c r="K78" s="419"/>
      <c r="L78" s="367"/>
      <c r="M78" s="294"/>
    </row>
    <row r="79" spans="1:13" ht="36">
      <c r="A79" s="234" t="s">
        <v>266</v>
      </c>
      <c r="B79" s="235" t="s">
        <v>544</v>
      </c>
      <c r="C79" s="235" t="s">
        <v>159</v>
      </c>
      <c r="D79" s="235" t="s">
        <v>370</v>
      </c>
      <c r="E79" s="235" t="s">
        <v>222</v>
      </c>
      <c r="F79" s="486">
        <v>496.4</v>
      </c>
      <c r="G79" s="480">
        <v>496.2</v>
      </c>
      <c r="H79" s="303">
        <f t="shared" si="7"/>
        <v>0.99959709911361805</v>
      </c>
      <c r="I79" s="8"/>
      <c r="J79" s="8"/>
      <c r="K79" s="419"/>
      <c r="L79" s="367"/>
      <c r="M79" s="294"/>
    </row>
    <row r="80" spans="1:13" ht="45.6">
      <c r="A80" s="256" t="s">
        <v>331</v>
      </c>
      <c r="B80" s="253" t="s">
        <v>544</v>
      </c>
      <c r="C80" s="253" t="s">
        <v>159</v>
      </c>
      <c r="D80" s="253" t="s">
        <v>375</v>
      </c>
      <c r="E80" s="253"/>
      <c r="F80" s="485">
        <f t="shared" ref="F80:G80" si="9">F82</f>
        <v>794.8</v>
      </c>
      <c r="G80" s="485">
        <f t="shared" si="9"/>
        <v>777.4</v>
      </c>
      <c r="H80" s="303">
        <f t="shared" si="7"/>
        <v>0.9781077000503271</v>
      </c>
      <c r="I80" s="8"/>
      <c r="J80" s="8"/>
      <c r="K80" s="419"/>
      <c r="L80" s="367"/>
      <c r="M80" s="294"/>
    </row>
    <row r="81" spans="1:13" ht="60">
      <c r="A81" s="426" t="s">
        <v>289</v>
      </c>
      <c r="B81" s="235" t="s">
        <v>544</v>
      </c>
      <c r="C81" s="235" t="s">
        <v>159</v>
      </c>
      <c r="D81" s="235" t="s">
        <v>375</v>
      </c>
      <c r="E81" s="235" t="s">
        <v>288</v>
      </c>
      <c r="F81" s="486">
        <f>F82</f>
        <v>794.8</v>
      </c>
      <c r="G81" s="486">
        <f>G82</f>
        <v>777.4</v>
      </c>
      <c r="H81" s="303">
        <f t="shared" si="7"/>
        <v>0.9781077000503271</v>
      </c>
      <c r="I81" s="8"/>
      <c r="J81" s="8"/>
      <c r="K81" s="419"/>
      <c r="L81" s="367"/>
      <c r="M81" s="294"/>
    </row>
    <row r="82" spans="1:13" ht="36">
      <c r="A82" s="234" t="s">
        <v>266</v>
      </c>
      <c r="B82" s="235" t="s">
        <v>544</v>
      </c>
      <c r="C82" s="235" t="s">
        <v>159</v>
      </c>
      <c r="D82" s="235" t="s">
        <v>375</v>
      </c>
      <c r="E82" s="235" t="s">
        <v>222</v>
      </c>
      <c r="F82" s="486">
        <v>794.8</v>
      </c>
      <c r="G82" s="480">
        <v>777.4</v>
      </c>
      <c r="H82" s="303">
        <f t="shared" si="7"/>
        <v>0.9781077000503271</v>
      </c>
      <c r="I82" s="8"/>
      <c r="J82" s="8"/>
      <c r="K82" s="419"/>
      <c r="L82" s="367"/>
      <c r="M82" s="294"/>
    </row>
    <row r="83" spans="1:13" ht="45.6">
      <c r="A83" s="256" t="s">
        <v>348</v>
      </c>
      <c r="B83" s="253" t="s">
        <v>544</v>
      </c>
      <c r="C83" s="253" t="s">
        <v>159</v>
      </c>
      <c r="D83" s="253" t="s">
        <v>371</v>
      </c>
      <c r="E83" s="253"/>
      <c r="F83" s="485">
        <f t="shared" ref="F83:G83" si="10">F85</f>
        <v>23</v>
      </c>
      <c r="G83" s="485">
        <f t="shared" si="10"/>
        <v>0</v>
      </c>
      <c r="H83" s="303">
        <f t="shared" si="7"/>
        <v>0</v>
      </c>
      <c r="I83" s="8"/>
      <c r="J83" s="8"/>
      <c r="K83" s="419"/>
      <c r="L83" s="367"/>
      <c r="M83" s="294"/>
    </row>
    <row r="84" spans="1:13" ht="60">
      <c r="A84" s="426" t="s">
        <v>289</v>
      </c>
      <c r="B84" s="235" t="s">
        <v>544</v>
      </c>
      <c r="C84" s="235" t="s">
        <v>159</v>
      </c>
      <c r="D84" s="235" t="s">
        <v>371</v>
      </c>
      <c r="E84" s="235" t="s">
        <v>288</v>
      </c>
      <c r="F84" s="486">
        <f>F85</f>
        <v>23</v>
      </c>
      <c r="G84" s="486">
        <f>G85</f>
        <v>0</v>
      </c>
      <c r="H84" s="303">
        <f t="shared" si="7"/>
        <v>0</v>
      </c>
      <c r="I84" s="8"/>
      <c r="J84" s="8"/>
      <c r="K84" s="419"/>
      <c r="L84" s="367"/>
      <c r="M84" s="294"/>
    </row>
    <row r="85" spans="1:13" ht="36">
      <c r="A85" s="234" t="s">
        <v>266</v>
      </c>
      <c r="B85" s="235" t="s">
        <v>544</v>
      </c>
      <c r="C85" s="235" t="s">
        <v>159</v>
      </c>
      <c r="D85" s="235" t="s">
        <v>371</v>
      </c>
      <c r="E85" s="235" t="s">
        <v>222</v>
      </c>
      <c r="F85" s="486">
        <v>23</v>
      </c>
      <c r="G85" s="480">
        <v>0</v>
      </c>
      <c r="H85" s="303">
        <f t="shared" si="7"/>
        <v>0</v>
      </c>
      <c r="I85" s="8"/>
      <c r="J85" s="8"/>
      <c r="K85" s="419"/>
      <c r="L85" s="367"/>
      <c r="M85" s="294"/>
    </row>
    <row r="86" spans="1:13">
      <c r="A86" s="255" t="s">
        <v>444</v>
      </c>
      <c r="B86" s="253" t="s">
        <v>544</v>
      </c>
      <c r="C86" s="253" t="s">
        <v>159</v>
      </c>
      <c r="D86" s="253" t="s">
        <v>445</v>
      </c>
      <c r="E86" s="253"/>
      <c r="F86" s="485">
        <f>F87</f>
        <v>0</v>
      </c>
      <c r="G86" s="485">
        <f>G87</f>
        <v>0</v>
      </c>
      <c r="H86" s="303">
        <v>0</v>
      </c>
      <c r="I86" s="8"/>
      <c r="J86" s="8"/>
      <c r="K86" s="419"/>
      <c r="L86" s="367"/>
      <c r="M86" s="294"/>
    </row>
    <row r="87" spans="1:13" ht="60">
      <c r="A87" s="426" t="s">
        <v>289</v>
      </c>
      <c r="B87" s="235" t="s">
        <v>544</v>
      </c>
      <c r="C87" s="235" t="s">
        <v>159</v>
      </c>
      <c r="D87" s="235" t="s">
        <v>445</v>
      </c>
      <c r="E87" s="235" t="s">
        <v>288</v>
      </c>
      <c r="F87" s="486">
        <f>F88</f>
        <v>0</v>
      </c>
      <c r="G87" s="480">
        <v>0</v>
      </c>
      <c r="H87" s="303">
        <v>0</v>
      </c>
      <c r="I87" s="8"/>
      <c r="J87" s="8"/>
      <c r="K87" s="419"/>
      <c r="L87" s="367"/>
      <c r="M87" s="294"/>
    </row>
    <row r="88" spans="1:13" ht="36">
      <c r="A88" s="234" t="s">
        <v>266</v>
      </c>
      <c r="B88" s="235" t="s">
        <v>544</v>
      </c>
      <c r="C88" s="235" t="s">
        <v>159</v>
      </c>
      <c r="D88" s="235" t="s">
        <v>445</v>
      </c>
      <c r="E88" s="235" t="s">
        <v>222</v>
      </c>
      <c r="F88" s="486">
        <v>0</v>
      </c>
      <c r="G88" s="480">
        <v>0</v>
      </c>
      <c r="H88" s="303">
        <v>0</v>
      </c>
      <c r="I88" s="8"/>
      <c r="J88" s="8"/>
      <c r="K88" s="419"/>
      <c r="L88" s="367"/>
      <c r="M88" s="294"/>
    </row>
    <row r="89" spans="1:13" ht="22.8">
      <c r="A89" s="256" t="s">
        <v>546</v>
      </c>
      <c r="B89" s="253" t="s">
        <v>544</v>
      </c>
      <c r="C89" s="253" t="s">
        <v>159</v>
      </c>
      <c r="D89" s="253" t="s">
        <v>374</v>
      </c>
      <c r="E89" s="253"/>
      <c r="F89" s="491">
        <f>F91</f>
        <v>12</v>
      </c>
      <c r="G89" s="491">
        <f>G91</f>
        <v>12</v>
      </c>
      <c r="H89" s="303">
        <f t="shared" si="7"/>
        <v>1</v>
      </c>
      <c r="I89" s="8"/>
      <c r="J89" s="8"/>
      <c r="K89" s="419"/>
      <c r="L89" s="367"/>
      <c r="M89" s="294"/>
    </row>
    <row r="90" spans="1:13" ht="60">
      <c r="A90" s="426" t="s">
        <v>289</v>
      </c>
      <c r="B90" s="238" t="s">
        <v>544</v>
      </c>
      <c r="C90" s="238" t="s">
        <v>159</v>
      </c>
      <c r="D90" s="235" t="s">
        <v>374</v>
      </c>
      <c r="E90" s="238" t="s">
        <v>288</v>
      </c>
      <c r="F90" s="486">
        <f>F91</f>
        <v>12</v>
      </c>
      <c r="G90" s="486">
        <f>G91</f>
        <v>12</v>
      </c>
      <c r="H90" s="303">
        <f t="shared" si="7"/>
        <v>1</v>
      </c>
      <c r="I90" s="8"/>
      <c r="J90" s="8"/>
      <c r="K90" s="419"/>
      <c r="L90" s="367"/>
      <c r="M90" s="294"/>
    </row>
    <row r="91" spans="1:13" ht="36">
      <c r="A91" s="234" t="s">
        <v>266</v>
      </c>
      <c r="B91" s="238" t="s">
        <v>544</v>
      </c>
      <c r="C91" s="238" t="s">
        <v>159</v>
      </c>
      <c r="D91" s="235" t="s">
        <v>374</v>
      </c>
      <c r="E91" s="238" t="s">
        <v>222</v>
      </c>
      <c r="F91" s="486">
        <v>12</v>
      </c>
      <c r="G91" s="486">
        <v>12</v>
      </c>
      <c r="H91" s="303">
        <f t="shared" si="7"/>
        <v>1</v>
      </c>
      <c r="I91" s="8"/>
      <c r="J91" s="8"/>
      <c r="K91" s="419"/>
      <c r="L91" s="367"/>
      <c r="M91" s="294"/>
    </row>
    <row r="92" spans="1:13" ht="45.6">
      <c r="A92" s="256" t="s">
        <v>353</v>
      </c>
      <c r="B92" s="253" t="s">
        <v>544</v>
      </c>
      <c r="C92" s="253" t="s">
        <v>159</v>
      </c>
      <c r="D92" s="253" t="s">
        <v>372</v>
      </c>
      <c r="E92" s="253"/>
      <c r="F92" s="485">
        <f>F94</f>
        <v>179</v>
      </c>
      <c r="G92" s="485">
        <f>G94</f>
        <v>128.1</v>
      </c>
      <c r="H92" s="303">
        <f t="shared" si="7"/>
        <v>0.7156424581005586</v>
      </c>
      <c r="I92" s="8"/>
      <c r="J92" s="8"/>
      <c r="K92" s="419"/>
      <c r="L92" s="367"/>
      <c r="M92" s="294"/>
    </row>
    <row r="93" spans="1:13" ht="60">
      <c r="A93" s="426" t="s">
        <v>289</v>
      </c>
      <c r="B93" s="235" t="s">
        <v>544</v>
      </c>
      <c r="C93" s="235" t="s">
        <v>159</v>
      </c>
      <c r="D93" s="235" t="s">
        <v>372</v>
      </c>
      <c r="E93" s="235" t="s">
        <v>288</v>
      </c>
      <c r="F93" s="486">
        <f>F94</f>
        <v>179</v>
      </c>
      <c r="G93" s="486">
        <f>G94</f>
        <v>128.1</v>
      </c>
      <c r="H93" s="303">
        <f t="shared" si="7"/>
        <v>0.7156424581005586</v>
      </c>
      <c r="I93" s="8"/>
      <c r="J93" s="8"/>
      <c r="K93" s="419"/>
      <c r="L93" s="367"/>
      <c r="M93" s="294"/>
    </row>
    <row r="94" spans="1:13" ht="36">
      <c r="A94" s="234" t="s">
        <v>266</v>
      </c>
      <c r="B94" s="235" t="s">
        <v>544</v>
      </c>
      <c r="C94" s="235" t="s">
        <v>159</v>
      </c>
      <c r="D94" s="235" t="s">
        <v>372</v>
      </c>
      <c r="E94" s="235" t="s">
        <v>222</v>
      </c>
      <c r="F94" s="486">
        <v>179</v>
      </c>
      <c r="G94" s="480">
        <v>128.1</v>
      </c>
      <c r="H94" s="303">
        <f t="shared" si="7"/>
        <v>0.7156424581005586</v>
      </c>
      <c r="I94" s="8"/>
      <c r="J94" s="8"/>
      <c r="K94" s="419"/>
      <c r="L94" s="367"/>
      <c r="M94" s="294"/>
    </row>
    <row r="95" spans="1:13" ht="57">
      <c r="A95" s="256" t="s">
        <v>547</v>
      </c>
      <c r="B95" s="253" t="s">
        <v>544</v>
      </c>
      <c r="C95" s="253" t="s">
        <v>159</v>
      </c>
      <c r="D95" s="253" t="s">
        <v>478</v>
      </c>
      <c r="E95" s="253"/>
      <c r="F95" s="485">
        <f>F97</f>
        <v>6</v>
      </c>
      <c r="G95" s="485">
        <f>G97</f>
        <v>6</v>
      </c>
      <c r="H95" s="303">
        <f t="shared" si="7"/>
        <v>1</v>
      </c>
      <c r="I95" s="8"/>
      <c r="J95" s="8"/>
      <c r="K95" s="419"/>
      <c r="L95" s="367"/>
      <c r="M95" s="294"/>
    </row>
    <row r="96" spans="1:13" ht="60">
      <c r="A96" s="426" t="s">
        <v>289</v>
      </c>
      <c r="B96" s="235" t="s">
        <v>544</v>
      </c>
      <c r="C96" s="235" t="s">
        <v>159</v>
      </c>
      <c r="D96" s="235" t="s">
        <v>478</v>
      </c>
      <c r="E96" s="235" t="s">
        <v>288</v>
      </c>
      <c r="F96" s="486">
        <f>F97</f>
        <v>6</v>
      </c>
      <c r="G96" s="486">
        <f>G97</f>
        <v>6</v>
      </c>
      <c r="H96" s="303">
        <f t="shared" si="7"/>
        <v>1</v>
      </c>
      <c r="I96" s="8"/>
      <c r="J96" s="8"/>
      <c r="K96" s="419"/>
      <c r="L96" s="367"/>
      <c r="M96" s="294"/>
    </row>
    <row r="97" spans="1:13" ht="36">
      <c r="A97" s="234" t="s">
        <v>266</v>
      </c>
      <c r="B97" s="235" t="s">
        <v>544</v>
      </c>
      <c r="C97" s="235" t="s">
        <v>159</v>
      </c>
      <c r="D97" s="235" t="s">
        <v>478</v>
      </c>
      <c r="E97" s="235" t="s">
        <v>222</v>
      </c>
      <c r="F97" s="486">
        <v>6</v>
      </c>
      <c r="G97" s="486">
        <v>6</v>
      </c>
      <c r="H97" s="303">
        <f t="shared" si="7"/>
        <v>1</v>
      </c>
      <c r="I97" s="8"/>
      <c r="J97" s="8"/>
      <c r="K97" s="419"/>
      <c r="L97" s="367"/>
      <c r="M97" s="294"/>
    </row>
    <row r="98" spans="1:13" ht="45.6">
      <c r="A98" s="255" t="s">
        <v>435</v>
      </c>
      <c r="B98" s="253" t="s">
        <v>544</v>
      </c>
      <c r="C98" s="253" t="s">
        <v>159</v>
      </c>
      <c r="D98" s="253" t="s">
        <v>436</v>
      </c>
      <c r="E98" s="253" t="s">
        <v>222</v>
      </c>
      <c r="F98" s="485">
        <f>F99</f>
        <v>12</v>
      </c>
      <c r="G98" s="485">
        <f>G99</f>
        <v>12</v>
      </c>
      <c r="H98" s="303">
        <f t="shared" si="7"/>
        <v>1</v>
      </c>
      <c r="I98" s="8"/>
      <c r="J98" s="8"/>
      <c r="K98" s="419"/>
      <c r="L98" s="367"/>
      <c r="M98" s="294"/>
    </row>
    <row r="99" spans="1:13" ht="60">
      <c r="A99" s="426" t="s">
        <v>289</v>
      </c>
      <c r="B99" s="235" t="s">
        <v>544</v>
      </c>
      <c r="C99" s="235" t="s">
        <v>159</v>
      </c>
      <c r="D99" s="235" t="s">
        <v>436</v>
      </c>
      <c r="E99" s="235" t="s">
        <v>288</v>
      </c>
      <c r="F99" s="486">
        <f>F100</f>
        <v>12</v>
      </c>
      <c r="G99" s="486">
        <f>G100</f>
        <v>12</v>
      </c>
      <c r="H99" s="303">
        <f t="shared" si="7"/>
        <v>1</v>
      </c>
      <c r="I99" s="8"/>
      <c r="J99" s="8"/>
      <c r="K99" s="419"/>
      <c r="L99" s="367"/>
      <c r="M99" s="294"/>
    </row>
    <row r="100" spans="1:13" ht="36.6" thickBot="1">
      <c r="A100" s="450" t="s">
        <v>266</v>
      </c>
      <c r="B100" s="238" t="s">
        <v>544</v>
      </c>
      <c r="C100" s="238" t="s">
        <v>159</v>
      </c>
      <c r="D100" s="238" t="s">
        <v>436</v>
      </c>
      <c r="E100" s="238" t="s">
        <v>222</v>
      </c>
      <c r="F100" s="487">
        <v>12</v>
      </c>
      <c r="G100" s="487">
        <v>12</v>
      </c>
      <c r="H100" s="303">
        <f t="shared" si="7"/>
        <v>1</v>
      </c>
      <c r="I100" s="8"/>
      <c r="J100" s="8"/>
      <c r="K100" s="419"/>
      <c r="L100" s="367"/>
      <c r="M100" s="294"/>
    </row>
    <row r="101" spans="1:13" ht="23.4" thickBot="1">
      <c r="A101" s="451" t="s">
        <v>33</v>
      </c>
      <c r="B101" s="258" t="s">
        <v>544</v>
      </c>
      <c r="C101" s="258" t="s">
        <v>27</v>
      </c>
      <c r="D101" s="258"/>
      <c r="E101" s="258"/>
      <c r="F101" s="492">
        <f>F102</f>
        <v>6.5</v>
      </c>
      <c r="G101" s="492">
        <f>G102</f>
        <v>0</v>
      </c>
      <c r="H101" s="303">
        <f t="shared" si="7"/>
        <v>0</v>
      </c>
      <c r="I101" s="8"/>
      <c r="J101" s="8"/>
      <c r="K101" s="419"/>
      <c r="L101" s="367"/>
      <c r="M101" s="294"/>
    </row>
    <row r="102" spans="1:13" ht="34.200000000000003">
      <c r="A102" s="452" t="s">
        <v>157</v>
      </c>
      <c r="B102" s="252" t="s">
        <v>544</v>
      </c>
      <c r="C102" s="252" t="s">
        <v>18</v>
      </c>
      <c r="D102" s="252"/>
      <c r="E102" s="252"/>
      <c r="F102" s="484">
        <f>F103+F106</f>
        <v>6.5</v>
      </c>
      <c r="G102" s="484">
        <f>G103+G106</f>
        <v>0</v>
      </c>
      <c r="H102" s="303">
        <f t="shared" si="7"/>
        <v>0</v>
      </c>
      <c r="I102" s="8"/>
      <c r="J102" s="8"/>
      <c r="K102" s="419"/>
      <c r="L102" s="367"/>
      <c r="M102" s="294"/>
    </row>
    <row r="103" spans="1:13" ht="79.8">
      <c r="A103" s="256" t="s">
        <v>437</v>
      </c>
      <c r="B103" s="253" t="s">
        <v>544</v>
      </c>
      <c r="C103" s="253" t="s">
        <v>18</v>
      </c>
      <c r="D103" s="259" t="s">
        <v>438</v>
      </c>
      <c r="E103" s="253"/>
      <c r="F103" s="485">
        <f>F104</f>
        <v>0</v>
      </c>
      <c r="G103" s="485">
        <f>G104</f>
        <v>0</v>
      </c>
      <c r="H103" s="303">
        <v>0</v>
      </c>
      <c r="I103" s="8"/>
      <c r="J103" s="8"/>
      <c r="K103" s="419"/>
      <c r="L103" s="367"/>
      <c r="M103" s="294"/>
    </row>
    <row r="104" spans="1:13" ht="60">
      <c r="A104" s="426" t="s">
        <v>289</v>
      </c>
      <c r="B104" s="238" t="s">
        <v>544</v>
      </c>
      <c r="C104" s="238" t="s">
        <v>18</v>
      </c>
      <c r="D104" s="238" t="s">
        <v>438</v>
      </c>
      <c r="E104" s="238" t="s">
        <v>288</v>
      </c>
      <c r="F104" s="487">
        <f>F105</f>
        <v>0</v>
      </c>
      <c r="G104" s="487">
        <f>G105</f>
        <v>0</v>
      </c>
      <c r="H104" s="303">
        <v>0</v>
      </c>
      <c r="I104" s="8"/>
      <c r="J104" s="8"/>
      <c r="K104" s="419"/>
      <c r="L104" s="367"/>
      <c r="M104" s="294"/>
    </row>
    <row r="105" spans="1:13" ht="36">
      <c r="A105" s="234" t="s">
        <v>266</v>
      </c>
      <c r="B105" s="238" t="s">
        <v>544</v>
      </c>
      <c r="C105" s="238" t="s">
        <v>18</v>
      </c>
      <c r="D105" s="238" t="s">
        <v>438</v>
      </c>
      <c r="E105" s="238" t="s">
        <v>222</v>
      </c>
      <c r="F105" s="487">
        <v>0</v>
      </c>
      <c r="G105" s="480">
        <v>0</v>
      </c>
      <c r="H105" s="303">
        <v>0</v>
      </c>
      <c r="I105" s="8"/>
      <c r="J105" s="8"/>
      <c r="K105" s="419"/>
      <c r="L105" s="367"/>
      <c r="M105" s="294"/>
    </row>
    <row r="106" spans="1:13" ht="57">
      <c r="A106" s="256" t="s">
        <v>339</v>
      </c>
      <c r="B106" s="253" t="s">
        <v>544</v>
      </c>
      <c r="C106" s="253" t="s">
        <v>18</v>
      </c>
      <c r="D106" s="259" t="s">
        <v>376</v>
      </c>
      <c r="E106" s="253"/>
      <c r="F106" s="485">
        <f>F107</f>
        <v>6.5</v>
      </c>
      <c r="G106" s="485">
        <f>G107</f>
        <v>0</v>
      </c>
      <c r="H106" s="303">
        <f t="shared" si="7"/>
        <v>0</v>
      </c>
      <c r="I106" s="8"/>
      <c r="J106" s="8"/>
      <c r="K106" s="419"/>
      <c r="L106" s="367"/>
      <c r="M106" s="294"/>
    </row>
    <row r="107" spans="1:13" ht="60">
      <c r="A107" s="426" t="s">
        <v>289</v>
      </c>
      <c r="B107" s="238" t="s">
        <v>544</v>
      </c>
      <c r="C107" s="238" t="s">
        <v>18</v>
      </c>
      <c r="D107" s="238" t="s">
        <v>376</v>
      </c>
      <c r="E107" s="238" t="s">
        <v>288</v>
      </c>
      <c r="F107" s="487">
        <f>F108</f>
        <v>6.5</v>
      </c>
      <c r="G107" s="487">
        <f>G108</f>
        <v>0</v>
      </c>
      <c r="H107" s="303">
        <f t="shared" si="7"/>
        <v>0</v>
      </c>
      <c r="I107" s="8"/>
      <c r="J107" s="8"/>
      <c r="K107" s="419"/>
      <c r="L107" s="367"/>
      <c r="M107" s="294"/>
    </row>
    <row r="108" spans="1:13" ht="36.6" thickBot="1">
      <c r="A108" s="234" t="s">
        <v>266</v>
      </c>
      <c r="B108" s="238" t="s">
        <v>544</v>
      </c>
      <c r="C108" s="238" t="s">
        <v>18</v>
      </c>
      <c r="D108" s="238" t="s">
        <v>376</v>
      </c>
      <c r="E108" s="238" t="s">
        <v>222</v>
      </c>
      <c r="F108" s="487">
        <v>6.5</v>
      </c>
      <c r="G108" s="480">
        <v>0</v>
      </c>
      <c r="H108" s="303">
        <f t="shared" si="7"/>
        <v>0</v>
      </c>
      <c r="I108" s="8"/>
      <c r="J108" s="8"/>
      <c r="K108" s="419"/>
      <c r="L108" s="367"/>
      <c r="M108" s="294"/>
    </row>
    <row r="109" spans="1:13" ht="14.4" thickBot="1">
      <c r="A109" s="453" t="s">
        <v>269</v>
      </c>
      <c r="B109" s="258" t="s">
        <v>544</v>
      </c>
      <c r="C109" s="454" t="s">
        <v>270</v>
      </c>
      <c r="D109" s="455"/>
      <c r="E109" s="456"/>
      <c r="F109" s="492">
        <f>F110+F117+F121</f>
        <v>34887.699999999997</v>
      </c>
      <c r="G109" s="492">
        <f>G110+G117+G121</f>
        <v>28714.9</v>
      </c>
      <c r="H109" s="303">
        <f t="shared" si="7"/>
        <v>0.82306658220518991</v>
      </c>
      <c r="I109" s="8"/>
      <c r="J109" s="8"/>
      <c r="K109" s="419"/>
      <c r="L109" s="367"/>
      <c r="M109" s="294"/>
    </row>
    <row r="110" spans="1:13" ht="23.4" thickBot="1">
      <c r="A110" s="451" t="s">
        <v>337</v>
      </c>
      <c r="B110" s="258" t="s">
        <v>544</v>
      </c>
      <c r="C110" s="258" t="s">
        <v>334</v>
      </c>
      <c r="D110" s="258"/>
      <c r="E110" s="258"/>
      <c r="F110" s="492">
        <f>F114+F111</f>
        <v>0</v>
      </c>
      <c r="G110" s="492">
        <f>G114+G111</f>
        <v>0</v>
      </c>
      <c r="H110" s="303">
        <v>0</v>
      </c>
      <c r="I110" s="8"/>
      <c r="J110" s="8"/>
      <c r="K110" s="419"/>
      <c r="L110" s="367"/>
      <c r="M110" s="294"/>
    </row>
    <row r="111" spans="1:13">
      <c r="A111" s="447" t="s">
        <v>439</v>
      </c>
      <c r="B111" s="457">
        <v>993</v>
      </c>
      <c r="C111" s="252" t="s">
        <v>334</v>
      </c>
      <c r="D111" s="252" t="s">
        <v>548</v>
      </c>
      <c r="E111" s="252"/>
      <c r="F111" s="484">
        <f>F112</f>
        <v>0</v>
      </c>
      <c r="G111" s="484">
        <f>G112</f>
        <v>0</v>
      </c>
      <c r="H111" s="303">
        <v>0</v>
      </c>
      <c r="I111" s="8"/>
      <c r="J111" s="8"/>
      <c r="K111" s="419"/>
      <c r="L111" s="367"/>
      <c r="M111" s="294"/>
    </row>
    <row r="112" spans="1:13" ht="48">
      <c r="A112" s="426" t="s">
        <v>336</v>
      </c>
      <c r="B112" s="435">
        <v>993</v>
      </c>
      <c r="C112" s="235" t="s">
        <v>334</v>
      </c>
      <c r="D112" s="235" t="s">
        <v>548</v>
      </c>
      <c r="E112" s="235" t="s">
        <v>290</v>
      </c>
      <c r="F112" s="486">
        <f>F113</f>
        <v>0</v>
      </c>
      <c r="G112" s="486">
        <f>G113</f>
        <v>0</v>
      </c>
      <c r="H112" s="303">
        <v>0</v>
      </c>
      <c r="I112" s="8"/>
      <c r="J112" s="8"/>
      <c r="K112" s="419"/>
      <c r="L112" s="367"/>
      <c r="M112" s="294"/>
    </row>
    <row r="113" spans="1:13" ht="72">
      <c r="A113" s="234" t="s">
        <v>338</v>
      </c>
      <c r="B113" s="435">
        <v>993</v>
      </c>
      <c r="C113" s="235" t="s">
        <v>334</v>
      </c>
      <c r="D113" s="235" t="s">
        <v>548</v>
      </c>
      <c r="E113" s="235" t="s">
        <v>335</v>
      </c>
      <c r="F113" s="486">
        <v>0</v>
      </c>
      <c r="G113" s="486">
        <v>0</v>
      </c>
      <c r="H113" s="303">
        <v>0</v>
      </c>
      <c r="I113" s="8"/>
      <c r="J113" s="8"/>
      <c r="K113" s="419"/>
      <c r="L113" s="367"/>
      <c r="M113" s="294"/>
    </row>
    <row r="114" spans="1:13" ht="34.200000000000003">
      <c r="A114" s="458" t="s">
        <v>419</v>
      </c>
      <c r="B114" s="457">
        <v>993</v>
      </c>
      <c r="C114" s="252" t="s">
        <v>334</v>
      </c>
      <c r="D114" s="252" t="s">
        <v>549</v>
      </c>
      <c r="E114" s="252"/>
      <c r="F114" s="484">
        <f>F115</f>
        <v>0</v>
      </c>
      <c r="G114" s="484">
        <f>G115</f>
        <v>0</v>
      </c>
      <c r="H114" s="303">
        <v>0</v>
      </c>
      <c r="I114" s="8"/>
      <c r="J114" s="8"/>
      <c r="K114" s="419"/>
      <c r="L114" s="367"/>
      <c r="M114" s="294"/>
    </row>
    <row r="115" spans="1:13" ht="48">
      <c r="A115" s="426" t="s">
        <v>336</v>
      </c>
      <c r="B115" s="435">
        <v>993</v>
      </c>
      <c r="C115" s="235" t="s">
        <v>334</v>
      </c>
      <c r="D115" s="235" t="s">
        <v>549</v>
      </c>
      <c r="E115" s="235" t="s">
        <v>290</v>
      </c>
      <c r="F115" s="486">
        <f>F116</f>
        <v>0</v>
      </c>
      <c r="G115" s="486">
        <f>G116</f>
        <v>0</v>
      </c>
      <c r="H115" s="303">
        <v>0</v>
      </c>
      <c r="I115" s="8"/>
      <c r="J115" s="8"/>
      <c r="K115" s="419"/>
      <c r="L115" s="367"/>
      <c r="M115" s="294"/>
    </row>
    <row r="116" spans="1:13" ht="72.599999999999994" thickBot="1">
      <c r="A116" s="234" t="s">
        <v>338</v>
      </c>
      <c r="B116" s="435">
        <v>993</v>
      </c>
      <c r="C116" s="235" t="s">
        <v>334</v>
      </c>
      <c r="D116" s="235" t="s">
        <v>549</v>
      </c>
      <c r="E116" s="235" t="s">
        <v>335</v>
      </c>
      <c r="F116" s="486">
        <v>0</v>
      </c>
      <c r="G116" s="486">
        <v>0</v>
      </c>
      <c r="H116" s="303">
        <v>0</v>
      </c>
      <c r="I116" s="8"/>
      <c r="J116" s="8"/>
      <c r="K116" s="419"/>
      <c r="L116" s="367"/>
      <c r="M116" s="294"/>
    </row>
    <row r="117" spans="1:13" ht="14.4" thickBot="1">
      <c r="A117" s="451" t="s">
        <v>196</v>
      </c>
      <c r="B117" s="258" t="s">
        <v>544</v>
      </c>
      <c r="C117" s="258" t="s">
        <v>195</v>
      </c>
      <c r="D117" s="258"/>
      <c r="E117" s="258"/>
      <c r="F117" s="492">
        <f>F118</f>
        <v>34887.699999999997</v>
      </c>
      <c r="G117" s="492">
        <f>G118</f>
        <v>28714.9</v>
      </c>
      <c r="H117" s="303">
        <f t="shared" si="7"/>
        <v>0.82306658220518991</v>
      </c>
      <c r="I117" s="8"/>
      <c r="J117" s="8"/>
      <c r="K117" s="419"/>
      <c r="L117" s="367"/>
      <c r="M117" s="294"/>
    </row>
    <row r="118" spans="1:13" ht="22.8">
      <c r="A118" s="458" t="s">
        <v>226</v>
      </c>
      <c r="B118" s="457">
        <v>993</v>
      </c>
      <c r="C118" s="252" t="s">
        <v>195</v>
      </c>
      <c r="D118" s="253" t="s">
        <v>377</v>
      </c>
      <c r="E118" s="252"/>
      <c r="F118" s="484">
        <f>F120</f>
        <v>34887.699999999997</v>
      </c>
      <c r="G118" s="484">
        <f>G120</f>
        <v>28714.9</v>
      </c>
      <c r="H118" s="303">
        <f t="shared" si="7"/>
        <v>0.82306658220518991</v>
      </c>
      <c r="I118" s="8"/>
      <c r="J118" s="8"/>
      <c r="K118" s="419"/>
      <c r="L118" s="367"/>
      <c r="M118" s="294"/>
    </row>
    <row r="119" spans="1:13" ht="60">
      <c r="A119" s="426" t="s">
        <v>289</v>
      </c>
      <c r="B119" s="435">
        <v>993</v>
      </c>
      <c r="C119" s="235" t="s">
        <v>195</v>
      </c>
      <c r="D119" s="235" t="s">
        <v>377</v>
      </c>
      <c r="E119" s="235" t="s">
        <v>288</v>
      </c>
      <c r="F119" s="486">
        <f>F120</f>
        <v>34887.699999999997</v>
      </c>
      <c r="G119" s="480">
        <f>G120</f>
        <v>28714.9</v>
      </c>
      <c r="H119" s="303">
        <f t="shared" si="7"/>
        <v>0.82306658220518991</v>
      </c>
      <c r="I119" s="8"/>
      <c r="J119" s="8"/>
      <c r="K119" s="419"/>
      <c r="L119" s="367"/>
      <c r="M119" s="294"/>
    </row>
    <row r="120" spans="1:13" ht="36.6" thickBot="1">
      <c r="A120" s="234" t="s">
        <v>266</v>
      </c>
      <c r="B120" s="435">
        <v>993</v>
      </c>
      <c r="C120" s="235" t="s">
        <v>195</v>
      </c>
      <c r="D120" s="235" t="s">
        <v>377</v>
      </c>
      <c r="E120" s="235" t="s">
        <v>222</v>
      </c>
      <c r="F120" s="486">
        <v>34887.699999999997</v>
      </c>
      <c r="G120" s="480">
        <v>28714.9</v>
      </c>
      <c r="H120" s="303">
        <f t="shared" si="7"/>
        <v>0.82306658220518991</v>
      </c>
      <c r="I120" s="8"/>
      <c r="J120" s="8"/>
      <c r="K120" s="419"/>
      <c r="L120" s="367"/>
      <c r="M120" s="294"/>
    </row>
    <row r="121" spans="1:13" ht="23.4" thickBot="1">
      <c r="A121" s="451" t="s">
        <v>350</v>
      </c>
      <c r="B121" s="258" t="s">
        <v>544</v>
      </c>
      <c r="C121" s="258" t="s">
        <v>349</v>
      </c>
      <c r="D121" s="258"/>
      <c r="E121" s="258"/>
      <c r="F121" s="492">
        <f t="shared" ref="F121:G123" si="11">F122</f>
        <v>0</v>
      </c>
      <c r="G121" s="492">
        <f t="shared" si="11"/>
        <v>0</v>
      </c>
      <c r="H121" s="303">
        <v>0</v>
      </c>
      <c r="I121" s="8"/>
      <c r="J121" s="8"/>
      <c r="K121" s="419"/>
      <c r="L121" s="367"/>
      <c r="M121" s="294"/>
    </row>
    <row r="122" spans="1:13" ht="22.8">
      <c r="A122" s="458" t="s">
        <v>351</v>
      </c>
      <c r="B122" s="457">
        <v>993</v>
      </c>
      <c r="C122" s="252" t="s">
        <v>349</v>
      </c>
      <c r="D122" s="253" t="s">
        <v>378</v>
      </c>
      <c r="E122" s="252"/>
      <c r="F122" s="484">
        <f t="shared" si="11"/>
        <v>0</v>
      </c>
      <c r="G122" s="484">
        <f t="shared" si="11"/>
        <v>0</v>
      </c>
      <c r="H122" s="303">
        <v>0</v>
      </c>
      <c r="I122" s="8"/>
      <c r="J122" s="8"/>
      <c r="K122" s="419"/>
      <c r="L122" s="367"/>
      <c r="M122" s="294"/>
    </row>
    <row r="123" spans="1:13" ht="60">
      <c r="A123" s="426" t="s">
        <v>289</v>
      </c>
      <c r="B123" s="435">
        <v>993</v>
      </c>
      <c r="C123" s="235" t="s">
        <v>349</v>
      </c>
      <c r="D123" s="235" t="s">
        <v>378</v>
      </c>
      <c r="E123" s="235" t="s">
        <v>288</v>
      </c>
      <c r="F123" s="486">
        <f t="shared" si="11"/>
        <v>0</v>
      </c>
      <c r="G123" s="486">
        <f t="shared" si="11"/>
        <v>0</v>
      </c>
      <c r="H123" s="303">
        <v>0</v>
      </c>
      <c r="I123" s="8"/>
      <c r="J123" s="8"/>
      <c r="K123" s="419"/>
      <c r="L123" s="367"/>
      <c r="M123" s="294"/>
    </row>
    <row r="124" spans="1:13" ht="36.6" thickBot="1">
      <c r="A124" s="234" t="s">
        <v>266</v>
      </c>
      <c r="B124" s="435">
        <v>993</v>
      </c>
      <c r="C124" s="235" t="s">
        <v>349</v>
      </c>
      <c r="D124" s="235" t="s">
        <v>378</v>
      </c>
      <c r="E124" s="235" t="s">
        <v>222</v>
      </c>
      <c r="F124" s="486">
        <v>0</v>
      </c>
      <c r="G124" s="486">
        <v>0</v>
      </c>
      <c r="H124" s="303">
        <v>0</v>
      </c>
      <c r="I124" s="8"/>
      <c r="J124" s="8"/>
      <c r="K124" s="419"/>
      <c r="L124" s="367"/>
      <c r="M124" s="294"/>
    </row>
    <row r="125" spans="1:13" ht="14.4" thickBot="1">
      <c r="A125" s="451" t="s">
        <v>28</v>
      </c>
      <c r="B125" s="258" t="s">
        <v>544</v>
      </c>
      <c r="C125" s="258" t="s">
        <v>29</v>
      </c>
      <c r="D125" s="258"/>
      <c r="E125" s="258"/>
      <c r="F125" s="492">
        <f>F126</f>
        <v>62699.7</v>
      </c>
      <c r="G125" s="492">
        <f>G126</f>
        <v>46122.1</v>
      </c>
      <c r="H125" s="303">
        <f t="shared" si="7"/>
        <v>0.73560320065327267</v>
      </c>
      <c r="I125" s="8"/>
      <c r="J125" s="8"/>
      <c r="K125" s="419"/>
      <c r="L125" s="367"/>
      <c r="M125" s="294"/>
    </row>
    <row r="126" spans="1:13" ht="14.4" thickBot="1">
      <c r="A126" s="459" t="s">
        <v>278</v>
      </c>
      <c r="B126" s="258" t="s">
        <v>544</v>
      </c>
      <c r="C126" s="258" t="s">
        <v>67</v>
      </c>
      <c r="D126" s="258"/>
      <c r="E126" s="258"/>
      <c r="F126" s="492">
        <f>F127+F137+F147+F157</f>
        <v>62699.7</v>
      </c>
      <c r="G126" s="492">
        <f>G127+G137+G147+G157</f>
        <v>46122.1</v>
      </c>
      <c r="H126" s="303">
        <f t="shared" si="7"/>
        <v>0.73560320065327267</v>
      </c>
      <c r="I126" s="8"/>
      <c r="J126" s="8"/>
      <c r="K126" s="419"/>
      <c r="L126" s="367"/>
      <c r="M126" s="294"/>
    </row>
    <row r="127" spans="1:13" ht="23.4" thickBot="1">
      <c r="A127" s="460" t="s">
        <v>341</v>
      </c>
      <c r="B127" s="266">
        <v>993</v>
      </c>
      <c r="C127" s="266" t="s">
        <v>67</v>
      </c>
      <c r="D127" s="266" t="s">
        <v>379</v>
      </c>
      <c r="E127" s="266"/>
      <c r="F127" s="493">
        <f>F128+F131+F134</f>
        <v>13670.3</v>
      </c>
      <c r="G127" s="493">
        <f>G128+G131+G134</f>
        <v>8356.4</v>
      </c>
      <c r="H127" s="303">
        <f t="shared" si="7"/>
        <v>0.61128139104481982</v>
      </c>
      <c r="I127" s="8"/>
      <c r="J127" s="8"/>
      <c r="K127" s="419"/>
      <c r="L127" s="367"/>
      <c r="M127" s="294"/>
    </row>
    <row r="128" spans="1:13" ht="36">
      <c r="A128" s="461" t="s">
        <v>227</v>
      </c>
      <c r="B128" s="462">
        <v>993</v>
      </c>
      <c r="C128" s="462" t="s">
        <v>67</v>
      </c>
      <c r="D128" s="462" t="s">
        <v>380</v>
      </c>
      <c r="E128" s="462"/>
      <c r="F128" s="494">
        <f>F129</f>
        <v>3525.4</v>
      </c>
      <c r="G128" s="494">
        <f>G129</f>
        <v>2360.9</v>
      </c>
      <c r="H128" s="303">
        <f t="shared" si="7"/>
        <v>0.66968287286549044</v>
      </c>
      <c r="I128" s="8"/>
      <c r="J128" s="8"/>
      <c r="K128" s="419"/>
      <c r="L128" s="367"/>
      <c r="M128" s="294"/>
    </row>
    <row r="129" spans="1:13" ht="60">
      <c r="A129" s="426" t="s">
        <v>289</v>
      </c>
      <c r="B129" s="235">
        <v>993</v>
      </c>
      <c r="C129" s="235" t="s">
        <v>67</v>
      </c>
      <c r="D129" s="235" t="s">
        <v>380</v>
      </c>
      <c r="E129" s="235" t="s">
        <v>288</v>
      </c>
      <c r="F129" s="486">
        <f>F130</f>
        <v>3525.4</v>
      </c>
      <c r="G129" s="486">
        <f>G130</f>
        <v>2360.9</v>
      </c>
      <c r="H129" s="303">
        <f t="shared" si="7"/>
        <v>0.66968287286549044</v>
      </c>
      <c r="I129" s="8"/>
      <c r="J129" s="8"/>
      <c r="K129" s="419"/>
      <c r="L129" s="367"/>
      <c r="M129" s="294"/>
    </row>
    <row r="130" spans="1:13" ht="36.6" thickBot="1">
      <c r="A130" s="450" t="s">
        <v>266</v>
      </c>
      <c r="B130" s="238">
        <v>993</v>
      </c>
      <c r="C130" s="238" t="s">
        <v>67</v>
      </c>
      <c r="D130" s="238" t="s">
        <v>380</v>
      </c>
      <c r="E130" s="238" t="s">
        <v>222</v>
      </c>
      <c r="F130" s="487">
        <v>3525.4</v>
      </c>
      <c r="G130" s="373">
        <v>2360.9</v>
      </c>
      <c r="H130" s="303">
        <f t="shared" si="7"/>
        <v>0.66968287286549044</v>
      </c>
      <c r="I130" s="8"/>
      <c r="J130" s="8"/>
      <c r="K130" s="419"/>
      <c r="L130" s="367"/>
      <c r="M130" s="294"/>
    </row>
    <row r="131" spans="1:13" ht="23.4" thickBot="1">
      <c r="A131" s="463" t="s">
        <v>442</v>
      </c>
      <c r="B131" s="464" t="s">
        <v>544</v>
      </c>
      <c r="C131" s="465" t="s">
        <v>67</v>
      </c>
      <c r="D131" s="258" t="s">
        <v>443</v>
      </c>
      <c r="E131" s="465"/>
      <c r="F131" s="492">
        <f>F133</f>
        <v>4759.8999999999996</v>
      </c>
      <c r="G131" s="492">
        <f>G133</f>
        <v>4428.5</v>
      </c>
      <c r="H131" s="303">
        <f t="shared" si="7"/>
        <v>0.93037668858589473</v>
      </c>
      <c r="I131" s="8"/>
      <c r="J131" s="8"/>
      <c r="K131" s="419"/>
      <c r="L131" s="367"/>
      <c r="M131" s="294"/>
    </row>
    <row r="132" spans="1:13" ht="60">
      <c r="A132" s="466" t="s">
        <v>289</v>
      </c>
      <c r="B132" s="467" t="s">
        <v>544</v>
      </c>
      <c r="C132" s="468" t="s">
        <v>67</v>
      </c>
      <c r="D132" s="237" t="s">
        <v>443</v>
      </c>
      <c r="E132" s="469" t="s">
        <v>288</v>
      </c>
      <c r="F132" s="495">
        <f>F133</f>
        <v>4759.8999999999996</v>
      </c>
      <c r="G132" s="495">
        <f>G133</f>
        <v>4428.5</v>
      </c>
      <c r="H132" s="303">
        <f t="shared" si="7"/>
        <v>0.93037668858589473</v>
      </c>
      <c r="I132" s="8"/>
      <c r="J132" s="8"/>
      <c r="K132" s="419"/>
      <c r="L132" s="367"/>
      <c r="M132" s="294"/>
    </row>
    <row r="133" spans="1:13" ht="36.6" thickBot="1">
      <c r="A133" s="450" t="s">
        <v>266</v>
      </c>
      <c r="B133" s="470" t="s">
        <v>544</v>
      </c>
      <c r="C133" s="273" t="s">
        <v>67</v>
      </c>
      <c r="D133" s="264" t="s">
        <v>443</v>
      </c>
      <c r="E133" s="273" t="s">
        <v>222</v>
      </c>
      <c r="F133" s="487">
        <v>4759.8999999999996</v>
      </c>
      <c r="G133" s="400">
        <v>4428.5</v>
      </c>
      <c r="H133" s="303">
        <f t="shared" si="7"/>
        <v>0.93037668858589473</v>
      </c>
      <c r="I133" s="8"/>
      <c r="J133" s="8"/>
      <c r="K133" s="419"/>
      <c r="L133" s="367"/>
      <c r="M133" s="294"/>
    </row>
    <row r="134" spans="1:13" ht="46.2" thickBot="1">
      <c r="A134" s="451" t="s">
        <v>460</v>
      </c>
      <c r="B134" s="464" t="s">
        <v>544</v>
      </c>
      <c r="C134" s="465" t="s">
        <v>67</v>
      </c>
      <c r="D134" s="258" t="s">
        <v>459</v>
      </c>
      <c r="E134" s="471"/>
      <c r="F134" s="492">
        <f>F135</f>
        <v>5385</v>
      </c>
      <c r="G134" s="492">
        <f>G135</f>
        <v>1567</v>
      </c>
      <c r="H134" s="303">
        <f t="shared" si="7"/>
        <v>0.29099350046425254</v>
      </c>
      <c r="I134" s="8"/>
      <c r="J134" s="8"/>
      <c r="K134" s="419"/>
      <c r="L134" s="367"/>
      <c r="M134" s="294"/>
    </row>
    <row r="135" spans="1:13" ht="60">
      <c r="A135" s="466" t="s">
        <v>289</v>
      </c>
      <c r="B135" s="472" t="s">
        <v>544</v>
      </c>
      <c r="C135" s="469" t="s">
        <v>67</v>
      </c>
      <c r="D135" s="237" t="s">
        <v>459</v>
      </c>
      <c r="E135" s="469" t="s">
        <v>288</v>
      </c>
      <c r="F135" s="496">
        <f>F136</f>
        <v>5385</v>
      </c>
      <c r="G135" s="496">
        <f>G136</f>
        <v>1567</v>
      </c>
      <c r="H135" s="303">
        <f t="shared" ref="H135:H197" si="12">G135/F135</f>
        <v>0.29099350046425254</v>
      </c>
      <c r="I135" s="8"/>
      <c r="J135" s="8"/>
      <c r="K135" s="419"/>
      <c r="L135" s="367"/>
      <c r="M135" s="294"/>
    </row>
    <row r="136" spans="1:13" ht="36.6" thickBot="1">
      <c r="A136" s="450" t="s">
        <v>266</v>
      </c>
      <c r="B136" s="470" t="s">
        <v>544</v>
      </c>
      <c r="C136" s="273" t="s">
        <v>67</v>
      </c>
      <c r="D136" s="238" t="s">
        <v>459</v>
      </c>
      <c r="E136" s="273" t="s">
        <v>222</v>
      </c>
      <c r="F136" s="487">
        <v>5385</v>
      </c>
      <c r="G136" s="384">
        <v>1567</v>
      </c>
      <c r="H136" s="303">
        <f t="shared" si="12"/>
        <v>0.29099350046425254</v>
      </c>
      <c r="I136" s="8"/>
      <c r="J136" s="8"/>
      <c r="K136" s="419"/>
      <c r="L136" s="367"/>
      <c r="M136" s="294"/>
    </row>
    <row r="137" spans="1:13" ht="34.799999999999997" thickBot="1">
      <c r="A137" s="473" t="s">
        <v>228</v>
      </c>
      <c r="B137" s="258">
        <v>993</v>
      </c>
      <c r="C137" s="258" t="s">
        <v>67</v>
      </c>
      <c r="D137" s="258" t="s">
        <v>381</v>
      </c>
      <c r="E137" s="258"/>
      <c r="F137" s="492">
        <f>F138++F141+F144</f>
        <v>12790</v>
      </c>
      <c r="G137" s="492">
        <f>G138++G141+G144</f>
        <v>11252.5</v>
      </c>
      <c r="H137" s="303">
        <f t="shared" si="12"/>
        <v>0.87978889757623147</v>
      </c>
      <c r="I137" s="8"/>
      <c r="J137" s="8"/>
      <c r="K137" s="419"/>
      <c r="L137" s="367"/>
      <c r="M137" s="294"/>
    </row>
    <row r="138" spans="1:13" ht="25.8" customHeight="1">
      <c r="A138" s="474" t="s">
        <v>229</v>
      </c>
      <c r="B138" s="469" t="s">
        <v>544</v>
      </c>
      <c r="C138" s="469" t="s">
        <v>67</v>
      </c>
      <c r="D138" s="235" t="s">
        <v>382</v>
      </c>
      <c r="E138" s="469"/>
      <c r="F138" s="497">
        <f>F139</f>
        <v>640</v>
      </c>
      <c r="G138" s="497">
        <f>G139</f>
        <v>640</v>
      </c>
      <c r="H138" s="303">
        <f t="shared" si="12"/>
        <v>1</v>
      </c>
      <c r="I138" s="8"/>
      <c r="J138" s="8"/>
      <c r="K138" s="419"/>
      <c r="L138" s="367"/>
      <c r="M138" s="294"/>
    </row>
    <row r="139" spans="1:13" ht="60">
      <c r="A139" s="426" t="s">
        <v>289</v>
      </c>
      <c r="B139" s="272" t="s">
        <v>544</v>
      </c>
      <c r="C139" s="272" t="s">
        <v>67</v>
      </c>
      <c r="D139" s="235" t="s">
        <v>382</v>
      </c>
      <c r="E139" s="272" t="s">
        <v>288</v>
      </c>
      <c r="F139" s="486">
        <f>F140</f>
        <v>640</v>
      </c>
      <c r="G139" s="486">
        <f>G140</f>
        <v>640</v>
      </c>
      <c r="H139" s="303">
        <f t="shared" si="12"/>
        <v>1</v>
      </c>
      <c r="I139" s="8"/>
      <c r="J139" s="8"/>
      <c r="K139" s="419"/>
      <c r="L139" s="367"/>
      <c r="M139" s="294"/>
    </row>
    <row r="140" spans="1:13" ht="36">
      <c r="A140" s="234" t="s">
        <v>266</v>
      </c>
      <c r="B140" s="272" t="s">
        <v>544</v>
      </c>
      <c r="C140" s="272" t="s">
        <v>67</v>
      </c>
      <c r="D140" s="237" t="s">
        <v>382</v>
      </c>
      <c r="E140" s="272" t="s">
        <v>222</v>
      </c>
      <c r="F140" s="486">
        <v>640</v>
      </c>
      <c r="G140" s="486">
        <v>640</v>
      </c>
      <c r="H140" s="303">
        <f t="shared" si="12"/>
        <v>1</v>
      </c>
      <c r="I140" s="8"/>
      <c r="J140" s="8"/>
      <c r="K140" s="419"/>
      <c r="L140" s="367"/>
      <c r="M140" s="294"/>
    </row>
    <row r="141" spans="1:13" ht="24">
      <c r="A141" s="425" t="s">
        <v>68</v>
      </c>
      <c r="B141" s="436" t="s">
        <v>544</v>
      </c>
      <c r="C141" s="272" t="s">
        <v>67</v>
      </c>
      <c r="D141" s="237" t="s">
        <v>383</v>
      </c>
      <c r="E141" s="272"/>
      <c r="F141" s="498">
        <f>F142</f>
        <v>0</v>
      </c>
      <c r="G141" s="498">
        <f>G142</f>
        <v>0</v>
      </c>
      <c r="H141" s="303">
        <v>0</v>
      </c>
      <c r="I141" s="8"/>
      <c r="J141" s="8"/>
      <c r="K141" s="419"/>
      <c r="L141" s="367"/>
      <c r="M141" s="294"/>
    </row>
    <row r="142" spans="1:13" ht="60">
      <c r="A142" s="426" t="s">
        <v>289</v>
      </c>
      <c r="B142" s="436" t="s">
        <v>544</v>
      </c>
      <c r="C142" s="272" t="s">
        <v>67</v>
      </c>
      <c r="D142" s="237" t="s">
        <v>383</v>
      </c>
      <c r="E142" s="272" t="s">
        <v>288</v>
      </c>
      <c r="F142" s="498">
        <f>F143</f>
        <v>0</v>
      </c>
      <c r="G142" s="498">
        <f>G143</f>
        <v>0</v>
      </c>
      <c r="H142" s="303">
        <v>0</v>
      </c>
      <c r="I142" s="8"/>
      <c r="J142" s="8"/>
      <c r="K142" s="419"/>
      <c r="L142" s="367"/>
      <c r="M142" s="294"/>
    </row>
    <row r="143" spans="1:13" ht="36">
      <c r="A143" s="234" t="s">
        <v>266</v>
      </c>
      <c r="B143" s="436" t="s">
        <v>544</v>
      </c>
      <c r="C143" s="272" t="s">
        <v>67</v>
      </c>
      <c r="D143" s="237" t="s">
        <v>383</v>
      </c>
      <c r="E143" s="272" t="s">
        <v>222</v>
      </c>
      <c r="F143" s="498">
        <v>0</v>
      </c>
      <c r="G143" s="498">
        <v>0</v>
      </c>
      <c r="H143" s="303">
        <v>0</v>
      </c>
      <c r="I143" s="8"/>
      <c r="J143" s="8"/>
      <c r="K143" s="419"/>
      <c r="L143" s="367"/>
      <c r="M143" s="294"/>
    </row>
    <row r="144" spans="1:13">
      <c r="A144" s="437" t="s">
        <v>550</v>
      </c>
      <c r="B144" s="438">
        <v>993</v>
      </c>
      <c r="C144" s="272" t="s">
        <v>67</v>
      </c>
      <c r="D144" s="237" t="s">
        <v>384</v>
      </c>
      <c r="E144" s="272"/>
      <c r="F144" s="486">
        <f>F145</f>
        <v>12150</v>
      </c>
      <c r="G144" s="486">
        <f>G145</f>
        <v>10612.5</v>
      </c>
      <c r="H144" s="303">
        <f t="shared" si="12"/>
        <v>0.87345679012345678</v>
      </c>
      <c r="I144" s="8"/>
      <c r="J144" s="8"/>
      <c r="K144" s="419"/>
      <c r="L144" s="367"/>
      <c r="M144" s="294"/>
    </row>
    <row r="145" spans="1:13" ht="60">
      <c r="A145" s="426" t="s">
        <v>289</v>
      </c>
      <c r="B145" s="475">
        <v>993</v>
      </c>
      <c r="C145" s="273" t="s">
        <v>67</v>
      </c>
      <c r="D145" s="237" t="s">
        <v>384</v>
      </c>
      <c r="E145" s="272" t="s">
        <v>288</v>
      </c>
      <c r="F145" s="486">
        <f>F146</f>
        <v>12150</v>
      </c>
      <c r="G145" s="486">
        <f>G146</f>
        <v>10612.5</v>
      </c>
      <c r="H145" s="303">
        <f t="shared" si="12"/>
        <v>0.87345679012345678</v>
      </c>
      <c r="I145" s="8"/>
      <c r="J145" s="8"/>
      <c r="K145" s="419"/>
      <c r="L145" s="367"/>
      <c r="M145" s="294"/>
    </row>
    <row r="146" spans="1:13" ht="36.6" thickBot="1">
      <c r="A146" s="234" t="s">
        <v>266</v>
      </c>
      <c r="B146" s="475">
        <v>993</v>
      </c>
      <c r="C146" s="273" t="s">
        <v>67</v>
      </c>
      <c r="D146" s="237" t="s">
        <v>384</v>
      </c>
      <c r="E146" s="272" t="s">
        <v>222</v>
      </c>
      <c r="F146" s="486">
        <f>10150+2000</f>
        <v>12150</v>
      </c>
      <c r="G146" s="374">
        <v>10612.5</v>
      </c>
      <c r="H146" s="303">
        <f t="shared" si="12"/>
        <v>0.87345679012345678</v>
      </c>
      <c r="I146" s="8"/>
      <c r="J146" s="8"/>
      <c r="K146" s="419"/>
      <c r="L146" s="367"/>
      <c r="M146" s="294"/>
    </row>
    <row r="147" spans="1:13" ht="40.799999999999997" customHeight="1" thickBot="1">
      <c r="A147" s="473" t="s">
        <v>231</v>
      </c>
      <c r="B147" s="258">
        <v>993</v>
      </c>
      <c r="C147" s="258" t="s">
        <v>67</v>
      </c>
      <c r="D147" s="252" t="s">
        <v>387</v>
      </c>
      <c r="E147" s="258"/>
      <c r="F147" s="492">
        <f>F148+F151+F154</f>
        <v>10400</v>
      </c>
      <c r="G147" s="492">
        <f>G148+G151+G154</f>
        <v>8553.6</v>
      </c>
      <c r="H147" s="303">
        <f t="shared" si="12"/>
        <v>0.82246153846153847</v>
      </c>
      <c r="I147" s="8"/>
      <c r="J147" s="8"/>
      <c r="K147" s="419"/>
      <c r="L147" s="367"/>
      <c r="M147" s="294"/>
    </row>
    <row r="148" spans="1:13" ht="24">
      <c r="A148" s="466" t="s">
        <v>551</v>
      </c>
      <c r="B148" s="472" t="s">
        <v>544</v>
      </c>
      <c r="C148" s="469" t="s">
        <v>67</v>
      </c>
      <c r="D148" s="237" t="s">
        <v>552</v>
      </c>
      <c r="E148" s="469"/>
      <c r="F148" s="497">
        <f t="shared" ref="F148:G148" si="13">F150</f>
        <v>0</v>
      </c>
      <c r="G148" s="497">
        <f t="shared" si="13"/>
        <v>0</v>
      </c>
      <c r="H148" s="303">
        <v>0</v>
      </c>
      <c r="I148" s="8"/>
      <c r="J148" s="8"/>
      <c r="K148" s="419"/>
      <c r="L148" s="367"/>
      <c r="M148" s="294"/>
    </row>
    <row r="149" spans="1:13" ht="60">
      <c r="A149" s="426" t="s">
        <v>289</v>
      </c>
      <c r="B149" s="472" t="s">
        <v>544</v>
      </c>
      <c r="C149" s="469" t="s">
        <v>67</v>
      </c>
      <c r="D149" s="237" t="s">
        <v>552</v>
      </c>
      <c r="E149" s="469" t="s">
        <v>288</v>
      </c>
      <c r="F149" s="486">
        <f>F150</f>
        <v>0</v>
      </c>
      <c r="G149" s="486">
        <f>G150</f>
        <v>0</v>
      </c>
      <c r="H149" s="303">
        <v>0</v>
      </c>
      <c r="I149" s="8"/>
      <c r="J149" s="8"/>
      <c r="K149" s="419"/>
      <c r="L149" s="367"/>
      <c r="M149" s="294"/>
    </row>
    <row r="150" spans="1:13" ht="36">
      <c r="A150" s="234" t="s">
        <v>266</v>
      </c>
      <c r="B150" s="472" t="s">
        <v>544</v>
      </c>
      <c r="C150" s="469" t="s">
        <v>67</v>
      </c>
      <c r="D150" s="237" t="s">
        <v>552</v>
      </c>
      <c r="E150" s="469" t="s">
        <v>222</v>
      </c>
      <c r="F150" s="486">
        <v>0</v>
      </c>
      <c r="G150" s="486">
        <v>0</v>
      </c>
      <c r="H150" s="303">
        <v>0</v>
      </c>
      <c r="I150" s="8"/>
      <c r="J150" s="8"/>
      <c r="K150" s="419"/>
      <c r="L150" s="367"/>
      <c r="M150" s="294"/>
    </row>
    <row r="151" spans="1:13" ht="24">
      <c r="A151" s="476" t="s">
        <v>342</v>
      </c>
      <c r="B151" s="470" t="s">
        <v>544</v>
      </c>
      <c r="C151" s="273" t="s">
        <v>67</v>
      </c>
      <c r="D151" s="237" t="s">
        <v>385</v>
      </c>
      <c r="E151" s="273"/>
      <c r="F151" s="499">
        <f>F153</f>
        <v>7842.1</v>
      </c>
      <c r="G151" s="499">
        <f>G153</f>
        <v>8553.6</v>
      </c>
      <c r="H151" s="303">
        <f t="shared" si="12"/>
        <v>1.0907282488109051</v>
      </c>
      <c r="I151" s="8"/>
      <c r="J151" s="8"/>
      <c r="K151" s="419"/>
      <c r="L151" s="367"/>
      <c r="M151" s="294"/>
    </row>
    <row r="152" spans="1:13" ht="60">
      <c r="A152" s="426" t="s">
        <v>289</v>
      </c>
      <c r="B152" s="470" t="s">
        <v>544</v>
      </c>
      <c r="C152" s="273" t="s">
        <v>67</v>
      </c>
      <c r="D152" s="237" t="s">
        <v>385</v>
      </c>
      <c r="E152" s="273" t="s">
        <v>288</v>
      </c>
      <c r="F152" s="486">
        <f>F153</f>
        <v>7842.1</v>
      </c>
      <c r="G152" s="486">
        <f>G153</f>
        <v>8553.6</v>
      </c>
      <c r="H152" s="303">
        <f t="shared" si="12"/>
        <v>1.0907282488109051</v>
      </c>
      <c r="I152" s="8"/>
      <c r="J152" s="8"/>
      <c r="K152" s="419"/>
      <c r="L152" s="367"/>
      <c r="M152" s="294"/>
    </row>
    <row r="153" spans="1:13" ht="36">
      <c r="A153" s="234" t="s">
        <v>266</v>
      </c>
      <c r="B153" s="470" t="s">
        <v>544</v>
      </c>
      <c r="C153" s="273" t="s">
        <v>67</v>
      </c>
      <c r="D153" s="237" t="s">
        <v>385</v>
      </c>
      <c r="E153" s="273" t="s">
        <v>222</v>
      </c>
      <c r="F153" s="486">
        <v>7842.1</v>
      </c>
      <c r="G153" s="374">
        <v>8553.6</v>
      </c>
      <c r="H153" s="303">
        <f t="shared" si="12"/>
        <v>1.0907282488109051</v>
      </c>
      <c r="I153" s="8"/>
      <c r="J153" s="8"/>
      <c r="K153" s="419"/>
      <c r="L153" s="367"/>
      <c r="M153" s="294"/>
    </row>
    <row r="154" spans="1:13" ht="24">
      <c r="A154" s="476" t="s">
        <v>359</v>
      </c>
      <c r="B154" s="470" t="s">
        <v>544</v>
      </c>
      <c r="C154" s="273" t="s">
        <v>67</v>
      </c>
      <c r="D154" s="237" t="s">
        <v>386</v>
      </c>
      <c r="E154" s="273"/>
      <c r="F154" s="499">
        <f>F156</f>
        <v>2557.9</v>
      </c>
      <c r="G154" s="499">
        <f>G156</f>
        <v>0</v>
      </c>
      <c r="H154" s="303">
        <f t="shared" si="12"/>
        <v>0</v>
      </c>
      <c r="I154" s="8"/>
      <c r="J154" s="8"/>
      <c r="K154" s="419"/>
      <c r="L154" s="367"/>
      <c r="M154" s="294"/>
    </row>
    <row r="155" spans="1:13" ht="42.6" customHeight="1">
      <c r="A155" s="426" t="s">
        <v>289</v>
      </c>
      <c r="B155" s="470" t="s">
        <v>544</v>
      </c>
      <c r="C155" s="273" t="s">
        <v>67</v>
      </c>
      <c r="D155" s="237" t="s">
        <v>386</v>
      </c>
      <c r="E155" s="273" t="s">
        <v>288</v>
      </c>
      <c r="F155" s="486">
        <f>F156</f>
        <v>2557.9</v>
      </c>
      <c r="G155" s="486">
        <f>G156</f>
        <v>0</v>
      </c>
      <c r="H155" s="303">
        <f t="shared" si="12"/>
        <v>0</v>
      </c>
      <c r="I155" s="8"/>
      <c r="J155" s="8"/>
      <c r="K155" s="419"/>
      <c r="L155" s="367"/>
      <c r="M155" s="294"/>
    </row>
    <row r="156" spans="1:13" ht="36.6" thickBot="1">
      <c r="A156" s="234" t="s">
        <v>266</v>
      </c>
      <c r="B156" s="470" t="s">
        <v>544</v>
      </c>
      <c r="C156" s="273" t="s">
        <v>67</v>
      </c>
      <c r="D156" s="264" t="s">
        <v>386</v>
      </c>
      <c r="E156" s="273" t="s">
        <v>222</v>
      </c>
      <c r="F156" s="486">
        <v>2557.9</v>
      </c>
      <c r="G156" s="480">
        <v>0</v>
      </c>
      <c r="H156" s="303">
        <f t="shared" si="12"/>
        <v>0</v>
      </c>
      <c r="I156" s="8"/>
      <c r="J156" s="8"/>
      <c r="K156" s="419"/>
      <c r="L156" s="367"/>
      <c r="M156" s="294"/>
    </row>
    <row r="157" spans="1:13" ht="27.6" customHeight="1" thickBot="1">
      <c r="A157" s="473" t="s">
        <v>233</v>
      </c>
      <c r="B157" s="258">
        <v>993</v>
      </c>
      <c r="C157" s="454" t="s">
        <v>67</v>
      </c>
      <c r="D157" s="455" t="s">
        <v>391</v>
      </c>
      <c r="E157" s="456"/>
      <c r="F157" s="492">
        <f>F158+F161+F164+F167</f>
        <v>25839.399999999998</v>
      </c>
      <c r="G157" s="492">
        <f>G158+G161+G164+G167</f>
        <v>17959.599999999999</v>
      </c>
      <c r="H157" s="303">
        <f t="shared" si="12"/>
        <v>0.695047098616841</v>
      </c>
      <c r="I157" s="8"/>
      <c r="J157" s="8"/>
      <c r="K157" s="419"/>
      <c r="L157" s="367"/>
      <c r="M157" s="294"/>
    </row>
    <row r="158" spans="1:13" ht="24">
      <c r="A158" s="466" t="s">
        <v>343</v>
      </c>
      <c r="B158" s="472" t="s">
        <v>544</v>
      </c>
      <c r="C158" s="469" t="s">
        <v>67</v>
      </c>
      <c r="D158" s="237" t="s">
        <v>388</v>
      </c>
      <c r="E158" s="469"/>
      <c r="F158" s="496">
        <f>F160</f>
        <v>6723.8</v>
      </c>
      <c r="G158" s="496">
        <f>G160</f>
        <v>3470.2</v>
      </c>
      <c r="H158" s="303">
        <f t="shared" si="12"/>
        <v>0.51610696332431061</v>
      </c>
      <c r="I158" s="8"/>
      <c r="J158" s="8"/>
      <c r="K158" s="419"/>
      <c r="L158" s="367"/>
      <c r="M158" s="294"/>
    </row>
    <row r="159" spans="1:13" ht="60">
      <c r="A159" s="426" t="s">
        <v>289</v>
      </c>
      <c r="B159" s="436" t="s">
        <v>544</v>
      </c>
      <c r="C159" s="272" t="s">
        <v>67</v>
      </c>
      <c r="D159" s="237" t="s">
        <v>388</v>
      </c>
      <c r="E159" s="272" t="s">
        <v>288</v>
      </c>
      <c r="F159" s="486">
        <f>F160</f>
        <v>6723.8</v>
      </c>
      <c r="G159" s="486">
        <f>G160</f>
        <v>3470.2</v>
      </c>
      <c r="H159" s="303">
        <f t="shared" si="12"/>
        <v>0.51610696332431061</v>
      </c>
      <c r="I159" s="8"/>
      <c r="J159" s="8"/>
      <c r="K159" s="419"/>
      <c r="L159" s="367"/>
      <c r="M159" s="294"/>
    </row>
    <row r="160" spans="1:13" ht="36">
      <c r="A160" s="234" t="s">
        <v>266</v>
      </c>
      <c r="B160" s="436" t="s">
        <v>544</v>
      </c>
      <c r="C160" s="272" t="s">
        <v>67</v>
      </c>
      <c r="D160" s="237" t="s">
        <v>388</v>
      </c>
      <c r="E160" s="272" t="s">
        <v>222</v>
      </c>
      <c r="F160" s="486">
        <v>6723.8</v>
      </c>
      <c r="G160" s="373">
        <v>3470.2</v>
      </c>
      <c r="H160" s="303">
        <f t="shared" si="12"/>
        <v>0.51610696332431061</v>
      </c>
      <c r="I160" s="8"/>
      <c r="J160" s="8"/>
      <c r="K160" s="419"/>
      <c r="L160" s="367"/>
      <c r="M160" s="294"/>
    </row>
    <row r="161" spans="1:13">
      <c r="A161" s="426" t="s">
        <v>344</v>
      </c>
      <c r="B161" s="436" t="s">
        <v>544</v>
      </c>
      <c r="C161" s="272" t="s">
        <v>67</v>
      </c>
      <c r="D161" s="237" t="s">
        <v>389</v>
      </c>
      <c r="E161" s="272"/>
      <c r="F161" s="486">
        <f t="shared" ref="F161:G161" si="14">F163</f>
        <v>11266.3</v>
      </c>
      <c r="G161" s="486">
        <f t="shared" si="14"/>
        <v>8571</v>
      </c>
      <c r="H161" s="303">
        <f t="shared" si="12"/>
        <v>0.76076440357526431</v>
      </c>
      <c r="I161" s="8"/>
      <c r="J161" s="8"/>
      <c r="K161" s="419"/>
      <c r="L161" s="367"/>
      <c r="M161" s="294"/>
    </row>
    <row r="162" spans="1:13" ht="60">
      <c r="A162" s="426" t="s">
        <v>289</v>
      </c>
      <c r="B162" s="436" t="s">
        <v>544</v>
      </c>
      <c r="C162" s="272" t="s">
        <v>67</v>
      </c>
      <c r="D162" s="237" t="s">
        <v>389</v>
      </c>
      <c r="E162" s="272" t="s">
        <v>288</v>
      </c>
      <c r="F162" s="486">
        <f>F163</f>
        <v>11266.3</v>
      </c>
      <c r="G162" s="486">
        <f>G163</f>
        <v>8571</v>
      </c>
      <c r="H162" s="303">
        <f t="shared" si="12"/>
        <v>0.76076440357526431</v>
      </c>
      <c r="I162" s="8"/>
      <c r="J162" s="8"/>
      <c r="K162" s="419"/>
      <c r="L162" s="367"/>
      <c r="M162" s="294"/>
    </row>
    <row r="163" spans="1:13" ht="36">
      <c r="A163" s="234" t="s">
        <v>266</v>
      </c>
      <c r="B163" s="436" t="s">
        <v>544</v>
      </c>
      <c r="C163" s="272" t="s">
        <v>67</v>
      </c>
      <c r="D163" s="237" t="s">
        <v>389</v>
      </c>
      <c r="E163" s="272" t="s">
        <v>222</v>
      </c>
      <c r="F163" s="486">
        <v>11266.3</v>
      </c>
      <c r="G163" s="373">
        <v>8571</v>
      </c>
      <c r="H163" s="303">
        <f t="shared" si="12"/>
        <v>0.76076440357526431</v>
      </c>
      <c r="I163" s="8"/>
      <c r="J163" s="8"/>
      <c r="K163" s="419"/>
      <c r="L163" s="367"/>
      <c r="M163" s="294"/>
    </row>
    <row r="164" spans="1:13">
      <c r="A164" s="426" t="s">
        <v>69</v>
      </c>
      <c r="B164" s="436" t="s">
        <v>544</v>
      </c>
      <c r="C164" s="272" t="s">
        <v>67</v>
      </c>
      <c r="D164" s="237" t="s">
        <v>390</v>
      </c>
      <c r="E164" s="272"/>
      <c r="F164" s="486">
        <f>F166</f>
        <v>7169.7</v>
      </c>
      <c r="G164" s="486">
        <f>G166</f>
        <v>5547.8</v>
      </c>
      <c r="H164" s="303">
        <f t="shared" si="12"/>
        <v>0.77378411927974677</v>
      </c>
      <c r="I164" s="8"/>
      <c r="J164" s="8"/>
      <c r="K164" s="419"/>
      <c r="L164" s="367"/>
      <c r="M164" s="294"/>
    </row>
    <row r="165" spans="1:13" ht="60">
      <c r="A165" s="426" t="s">
        <v>289</v>
      </c>
      <c r="B165" s="470" t="s">
        <v>544</v>
      </c>
      <c r="C165" s="273" t="s">
        <v>67</v>
      </c>
      <c r="D165" s="237" t="s">
        <v>390</v>
      </c>
      <c r="E165" s="272" t="s">
        <v>288</v>
      </c>
      <c r="F165" s="487">
        <f>F166</f>
        <v>7169.7</v>
      </c>
      <c r="G165" s="487">
        <f>G166</f>
        <v>5547.8</v>
      </c>
      <c r="H165" s="303">
        <f t="shared" si="12"/>
        <v>0.77378411927974677</v>
      </c>
      <c r="I165" s="8"/>
      <c r="J165" s="8"/>
      <c r="K165" s="419"/>
      <c r="L165" s="367"/>
      <c r="M165" s="294"/>
    </row>
    <row r="166" spans="1:13" ht="36">
      <c r="A166" s="450" t="s">
        <v>266</v>
      </c>
      <c r="B166" s="470" t="s">
        <v>544</v>
      </c>
      <c r="C166" s="273" t="s">
        <v>67</v>
      </c>
      <c r="D166" s="264" t="s">
        <v>390</v>
      </c>
      <c r="E166" s="273" t="s">
        <v>222</v>
      </c>
      <c r="F166" s="487">
        <v>7169.7</v>
      </c>
      <c r="G166" s="374">
        <v>5547.8</v>
      </c>
      <c r="H166" s="303">
        <f t="shared" si="12"/>
        <v>0.77378411927974677</v>
      </c>
      <c r="I166" s="8"/>
      <c r="J166" s="8"/>
      <c r="K166" s="419"/>
      <c r="L166" s="367"/>
      <c r="M166" s="294"/>
    </row>
    <row r="167" spans="1:13" ht="24">
      <c r="A167" s="234" t="s">
        <v>553</v>
      </c>
      <c r="B167" s="436" t="s">
        <v>544</v>
      </c>
      <c r="C167" s="272" t="s">
        <v>67</v>
      </c>
      <c r="D167" s="264" t="s">
        <v>469</v>
      </c>
      <c r="E167" s="272" t="s">
        <v>222</v>
      </c>
      <c r="F167" s="486">
        <v>679.6</v>
      </c>
      <c r="G167" s="381">
        <v>370.6</v>
      </c>
      <c r="H167" s="303">
        <f t="shared" si="12"/>
        <v>0.5453207769276045</v>
      </c>
      <c r="I167" s="8"/>
      <c r="J167" s="8"/>
      <c r="K167" s="419"/>
      <c r="L167" s="367"/>
      <c r="M167" s="294"/>
    </row>
    <row r="168" spans="1:13">
      <c r="A168" s="255" t="s">
        <v>30</v>
      </c>
      <c r="B168" s="253" t="s">
        <v>544</v>
      </c>
      <c r="C168" s="253" t="s">
        <v>19</v>
      </c>
      <c r="D168" s="253"/>
      <c r="E168" s="253"/>
      <c r="F168" s="485">
        <f>F173+F169</f>
        <v>667.3</v>
      </c>
      <c r="G168" s="485">
        <f>G173+G169</f>
        <v>603.29999999999995</v>
      </c>
      <c r="H168" s="303">
        <f t="shared" si="12"/>
        <v>0.90409111344222992</v>
      </c>
      <c r="I168" s="8"/>
      <c r="J168" s="8"/>
      <c r="K168" s="419"/>
      <c r="L168" s="367"/>
      <c r="M168" s="294"/>
    </row>
    <row r="169" spans="1:13" ht="34.200000000000003">
      <c r="A169" s="256" t="s">
        <v>281</v>
      </c>
      <c r="B169" s="253" t="s">
        <v>544</v>
      </c>
      <c r="C169" s="253" t="s">
        <v>280</v>
      </c>
      <c r="D169" s="253"/>
      <c r="E169" s="253"/>
      <c r="F169" s="485">
        <f t="shared" ref="F169:G171" si="15">F170</f>
        <v>64</v>
      </c>
      <c r="G169" s="485">
        <f t="shared" si="15"/>
        <v>0</v>
      </c>
      <c r="H169" s="303">
        <f t="shared" si="12"/>
        <v>0</v>
      </c>
      <c r="I169" s="8"/>
      <c r="J169" s="8"/>
      <c r="K169" s="419"/>
      <c r="L169" s="367"/>
      <c r="M169" s="294"/>
    </row>
    <row r="170" spans="1:13" ht="79.8">
      <c r="A170" s="256" t="s">
        <v>340</v>
      </c>
      <c r="B170" s="253" t="s">
        <v>544</v>
      </c>
      <c r="C170" s="253" t="s">
        <v>280</v>
      </c>
      <c r="D170" s="253" t="s">
        <v>392</v>
      </c>
      <c r="E170" s="253"/>
      <c r="F170" s="485">
        <f t="shared" si="15"/>
        <v>64</v>
      </c>
      <c r="G170" s="485">
        <f t="shared" si="15"/>
        <v>0</v>
      </c>
      <c r="H170" s="303">
        <f t="shared" si="12"/>
        <v>0</v>
      </c>
      <c r="I170" s="8"/>
      <c r="J170" s="8"/>
      <c r="K170" s="419"/>
      <c r="L170" s="367"/>
      <c r="M170" s="294"/>
    </row>
    <row r="171" spans="1:13" ht="23.4" customHeight="1">
      <c r="A171" s="426" t="s">
        <v>289</v>
      </c>
      <c r="B171" s="235" t="s">
        <v>544</v>
      </c>
      <c r="C171" s="235" t="s">
        <v>280</v>
      </c>
      <c r="D171" s="235" t="s">
        <v>392</v>
      </c>
      <c r="E171" s="235" t="s">
        <v>288</v>
      </c>
      <c r="F171" s="487">
        <f t="shared" si="15"/>
        <v>64</v>
      </c>
      <c r="G171" s="487">
        <f t="shared" si="15"/>
        <v>0</v>
      </c>
      <c r="H171" s="303">
        <f t="shared" si="12"/>
        <v>0</v>
      </c>
      <c r="I171" s="8"/>
      <c r="J171" s="8"/>
      <c r="K171" s="419"/>
      <c r="L171" s="367"/>
      <c r="M171" s="294"/>
    </row>
    <row r="172" spans="1:13" ht="36">
      <c r="A172" s="234" t="s">
        <v>266</v>
      </c>
      <c r="B172" s="235" t="s">
        <v>544</v>
      </c>
      <c r="C172" s="235" t="s">
        <v>280</v>
      </c>
      <c r="D172" s="235" t="s">
        <v>392</v>
      </c>
      <c r="E172" s="235" t="s">
        <v>222</v>
      </c>
      <c r="F172" s="487">
        <v>64</v>
      </c>
      <c r="G172" s="480">
        <v>0</v>
      </c>
      <c r="H172" s="303">
        <f t="shared" si="12"/>
        <v>0</v>
      </c>
      <c r="I172" s="8"/>
      <c r="J172" s="8"/>
      <c r="K172" s="419"/>
      <c r="L172" s="367"/>
      <c r="M172" s="294"/>
    </row>
    <row r="173" spans="1:13">
      <c r="A173" s="452" t="s">
        <v>554</v>
      </c>
      <c r="B173" s="252" t="s">
        <v>544</v>
      </c>
      <c r="C173" s="252" t="s">
        <v>20</v>
      </c>
      <c r="D173" s="252"/>
      <c r="E173" s="253"/>
      <c r="F173" s="500">
        <f>F177+F174</f>
        <v>603.29999999999995</v>
      </c>
      <c r="G173" s="500">
        <f>G177+G174</f>
        <v>603.29999999999995</v>
      </c>
      <c r="H173" s="303">
        <f t="shared" si="12"/>
        <v>1</v>
      </c>
      <c r="I173" s="8"/>
      <c r="J173" s="8"/>
      <c r="K173" s="419"/>
      <c r="L173" s="367"/>
      <c r="M173" s="294"/>
    </row>
    <row r="174" spans="1:13" ht="22.8">
      <c r="A174" s="256" t="s">
        <v>470</v>
      </c>
      <c r="B174" s="253" t="s">
        <v>544</v>
      </c>
      <c r="C174" s="253" t="s">
        <v>20</v>
      </c>
      <c r="D174" s="253" t="s">
        <v>555</v>
      </c>
      <c r="E174" s="253"/>
      <c r="F174" s="485">
        <f>F176</f>
        <v>547.29999999999995</v>
      </c>
      <c r="G174" s="485">
        <f>G176</f>
        <v>547.29999999999995</v>
      </c>
      <c r="H174" s="303">
        <f t="shared" si="12"/>
        <v>1</v>
      </c>
      <c r="I174" s="8"/>
      <c r="J174" s="8"/>
      <c r="K174" s="419"/>
      <c r="L174" s="367"/>
      <c r="M174" s="294"/>
    </row>
    <row r="175" spans="1:13" ht="60">
      <c r="A175" s="426" t="s">
        <v>289</v>
      </c>
      <c r="B175" s="235" t="s">
        <v>544</v>
      </c>
      <c r="C175" s="235" t="s">
        <v>20</v>
      </c>
      <c r="D175" s="235" t="s">
        <v>555</v>
      </c>
      <c r="E175" s="235" t="s">
        <v>288</v>
      </c>
      <c r="F175" s="487">
        <f>F176</f>
        <v>547.29999999999995</v>
      </c>
      <c r="G175" s="487">
        <f>G176</f>
        <v>547.29999999999995</v>
      </c>
      <c r="H175" s="303">
        <f t="shared" si="12"/>
        <v>1</v>
      </c>
      <c r="I175" s="8"/>
      <c r="J175" s="8"/>
      <c r="K175" s="419"/>
      <c r="L175" s="367"/>
      <c r="M175" s="294"/>
    </row>
    <row r="176" spans="1:13" ht="36">
      <c r="A176" s="234" t="s">
        <v>266</v>
      </c>
      <c r="B176" s="235" t="s">
        <v>544</v>
      </c>
      <c r="C176" s="235" t="s">
        <v>20</v>
      </c>
      <c r="D176" s="235" t="s">
        <v>555</v>
      </c>
      <c r="E176" s="235" t="s">
        <v>222</v>
      </c>
      <c r="F176" s="487">
        <v>547.29999999999995</v>
      </c>
      <c r="G176" s="402">
        <v>547.29999999999995</v>
      </c>
      <c r="H176" s="303">
        <f t="shared" si="12"/>
        <v>1</v>
      </c>
      <c r="I176" s="8"/>
      <c r="J176" s="8"/>
      <c r="K176" s="419"/>
      <c r="L176" s="367"/>
      <c r="M176" s="294"/>
    </row>
    <row r="177" spans="1:13" ht="45.6">
      <c r="A177" s="439" t="s">
        <v>345</v>
      </c>
      <c r="B177" s="253" t="s">
        <v>544</v>
      </c>
      <c r="C177" s="253" t="s">
        <v>20</v>
      </c>
      <c r="D177" s="253" t="s">
        <v>404</v>
      </c>
      <c r="E177" s="253"/>
      <c r="F177" s="485">
        <f>F179</f>
        <v>56</v>
      </c>
      <c r="G177" s="485">
        <f>G179</f>
        <v>56</v>
      </c>
      <c r="H177" s="303">
        <f t="shared" si="12"/>
        <v>1</v>
      </c>
      <c r="I177" s="8"/>
      <c r="J177" s="8"/>
      <c r="K177" s="419"/>
      <c r="L177" s="367"/>
      <c r="M177" s="294"/>
    </row>
    <row r="178" spans="1:13" ht="60">
      <c r="A178" s="426" t="s">
        <v>289</v>
      </c>
      <c r="B178" s="477">
        <v>993</v>
      </c>
      <c r="C178" s="238" t="s">
        <v>20</v>
      </c>
      <c r="D178" s="235" t="s">
        <v>404</v>
      </c>
      <c r="E178" s="235" t="s">
        <v>288</v>
      </c>
      <c r="F178" s="487">
        <f>F179</f>
        <v>56</v>
      </c>
      <c r="G178" s="487">
        <f>G179</f>
        <v>56</v>
      </c>
      <c r="H178" s="303">
        <f t="shared" si="12"/>
        <v>1</v>
      </c>
      <c r="I178" s="8"/>
      <c r="J178" s="8"/>
      <c r="K178" s="419"/>
      <c r="L178" s="367"/>
      <c r="M178" s="294"/>
    </row>
    <row r="179" spans="1:13" ht="36.6" thickBot="1">
      <c r="A179" s="234" t="s">
        <v>266</v>
      </c>
      <c r="B179" s="477">
        <v>993</v>
      </c>
      <c r="C179" s="238" t="s">
        <v>20</v>
      </c>
      <c r="D179" s="235" t="s">
        <v>404</v>
      </c>
      <c r="E179" s="235" t="s">
        <v>222</v>
      </c>
      <c r="F179" s="487">
        <v>56</v>
      </c>
      <c r="G179" s="374">
        <v>56</v>
      </c>
      <c r="H179" s="303">
        <f t="shared" si="12"/>
        <v>1</v>
      </c>
      <c r="I179" s="8"/>
      <c r="J179" s="8"/>
      <c r="K179" s="419"/>
      <c r="L179" s="367"/>
      <c r="M179" s="294"/>
    </row>
    <row r="180" spans="1:13" ht="14.4" thickBot="1">
      <c r="A180" s="451" t="s">
        <v>181</v>
      </c>
      <c r="B180" s="258" t="s">
        <v>544</v>
      </c>
      <c r="C180" s="258" t="s">
        <v>21</v>
      </c>
      <c r="D180" s="258"/>
      <c r="E180" s="258"/>
      <c r="F180" s="492">
        <f>F181+F185</f>
        <v>13956.699999999999</v>
      </c>
      <c r="G180" s="492">
        <f>G181+G185</f>
        <v>12784.599999999999</v>
      </c>
      <c r="H180" s="303">
        <f t="shared" si="12"/>
        <v>0.91601882966603854</v>
      </c>
      <c r="I180" s="8"/>
      <c r="J180" s="8"/>
      <c r="K180" s="419"/>
      <c r="L180" s="367"/>
      <c r="M180" s="294"/>
    </row>
    <row r="181" spans="1:13">
      <c r="A181" s="452" t="s">
        <v>34</v>
      </c>
      <c r="B181" s="252" t="s">
        <v>544</v>
      </c>
      <c r="C181" s="252" t="s">
        <v>35</v>
      </c>
      <c r="D181" s="252"/>
      <c r="E181" s="252"/>
      <c r="F181" s="484">
        <f>F182</f>
        <v>2848</v>
      </c>
      <c r="G181" s="484">
        <f>G182</f>
        <v>2842</v>
      </c>
      <c r="H181" s="303">
        <f t="shared" si="12"/>
        <v>0.9978932584269663</v>
      </c>
      <c r="I181" s="8"/>
      <c r="J181" s="8"/>
      <c r="K181" s="419"/>
      <c r="L181" s="367"/>
      <c r="M181" s="294"/>
    </row>
    <row r="182" spans="1:13" ht="57">
      <c r="A182" s="256" t="s">
        <v>346</v>
      </c>
      <c r="B182" s="253" t="s">
        <v>544</v>
      </c>
      <c r="C182" s="253" t="s">
        <v>35</v>
      </c>
      <c r="D182" s="253" t="s">
        <v>393</v>
      </c>
      <c r="E182" s="253"/>
      <c r="F182" s="485">
        <f>F184</f>
        <v>2848</v>
      </c>
      <c r="G182" s="485">
        <f>G184</f>
        <v>2842</v>
      </c>
      <c r="H182" s="303">
        <f t="shared" si="12"/>
        <v>0.9978932584269663</v>
      </c>
      <c r="I182" s="8"/>
      <c r="J182" s="8"/>
      <c r="K182" s="419"/>
      <c r="L182" s="367"/>
      <c r="M182" s="294"/>
    </row>
    <row r="183" spans="1:13" ht="38.4" customHeight="1">
      <c r="A183" s="426" t="s">
        <v>289</v>
      </c>
      <c r="B183" s="235" t="s">
        <v>544</v>
      </c>
      <c r="C183" s="235" t="s">
        <v>35</v>
      </c>
      <c r="D183" s="235" t="s">
        <v>393</v>
      </c>
      <c r="E183" s="235" t="s">
        <v>288</v>
      </c>
      <c r="F183" s="487">
        <f>F184</f>
        <v>2848</v>
      </c>
      <c r="G183" s="487">
        <f>G184</f>
        <v>2842</v>
      </c>
      <c r="H183" s="303">
        <f t="shared" si="12"/>
        <v>0.9978932584269663</v>
      </c>
      <c r="I183" s="8"/>
      <c r="J183" s="8"/>
      <c r="K183" s="419"/>
      <c r="L183" s="367"/>
      <c r="M183" s="294"/>
    </row>
    <row r="184" spans="1:13" ht="36">
      <c r="A184" s="234" t="s">
        <v>266</v>
      </c>
      <c r="B184" s="235" t="s">
        <v>544</v>
      </c>
      <c r="C184" s="235" t="s">
        <v>35</v>
      </c>
      <c r="D184" s="235" t="s">
        <v>393</v>
      </c>
      <c r="E184" s="235" t="s">
        <v>222</v>
      </c>
      <c r="F184" s="487">
        <v>2848</v>
      </c>
      <c r="G184" s="374">
        <v>2842</v>
      </c>
      <c r="H184" s="303">
        <f t="shared" si="12"/>
        <v>0.9978932584269663</v>
      </c>
      <c r="I184" s="8"/>
      <c r="J184" s="8"/>
      <c r="K184" s="419"/>
      <c r="L184" s="367"/>
      <c r="M184" s="294"/>
    </row>
    <row r="185" spans="1:13" ht="22.8">
      <c r="A185" s="439" t="s">
        <v>267</v>
      </c>
      <c r="B185" s="253" t="s">
        <v>544</v>
      </c>
      <c r="C185" s="253" t="s">
        <v>234</v>
      </c>
      <c r="D185" s="253"/>
      <c r="E185" s="253"/>
      <c r="F185" s="485">
        <f>F186+F189</f>
        <v>11108.699999999999</v>
      </c>
      <c r="G185" s="485">
        <f>G186+G189</f>
        <v>9942.5999999999985</v>
      </c>
      <c r="H185" s="303">
        <f t="shared" si="12"/>
        <v>0.89502822112398384</v>
      </c>
      <c r="I185" s="8"/>
      <c r="J185" s="8"/>
      <c r="K185" s="419"/>
      <c r="L185" s="367"/>
      <c r="M185" s="294"/>
    </row>
    <row r="186" spans="1:13" ht="22.8">
      <c r="A186" s="478" t="s">
        <v>347</v>
      </c>
      <c r="B186" s="259" t="s">
        <v>544</v>
      </c>
      <c r="C186" s="259" t="s">
        <v>234</v>
      </c>
      <c r="D186" s="253" t="s">
        <v>394</v>
      </c>
      <c r="E186" s="259"/>
      <c r="F186" s="501">
        <f>F188</f>
        <v>3645.6</v>
      </c>
      <c r="G186" s="501">
        <f>G188</f>
        <v>2557.8000000000002</v>
      </c>
      <c r="H186" s="303">
        <f t="shared" si="12"/>
        <v>0.70161290322580649</v>
      </c>
      <c r="I186" s="8"/>
      <c r="J186" s="8"/>
      <c r="K186" s="419"/>
      <c r="L186" s="367"/>
      <c r="M186" s="294"/>
    </row>
    <row r="187" spans="1:13" ht="33.6" customHeight="1">
      <c r="A187" s="426" t="s">
        <v>289</v>
      </c>
      <c r="B187" s="238" t="s">
        <v>544</v>
      </c>
      <c r="C187" s="238" t="s">
        <v>234</v>
      </c>
      <c r="D187" s="235" t="s">
        <v>394</v>
      </c>
      <c r="E187" s="235" t="s">
        <v>288</v>
      </c>
      <c r="F187" s="487">
        <f>F188</f>
        <v>3645.6</v>
      </c>
      <c r="G187" s="487">
        <f>G188</f>
        <v>2557.8000000000002</v>
      </c>
      <c r="H187" s="303">
        <f t="shared" si="12"/>
        <v>0.70161290322580649</v>
      </c>
      <c r="I187" s="8"/>
      <c r="J187" s="8"/>
      <c r="K187" s="419"/>
      <c r="L187" s="367"/>
      <c r="M187" s="294"/>
    </row>
    <row r="188" spans="1:13" ht="36">
      <c r="A188" s="234" t="s">
        <v>266</v>
      </c>
      <c r="B188" s="238" t="s">
        <v>544</v>
      </c>
      <c r="C188" s="238" t="s">
        <v>234</v>
      </c>
      <c r="D188" s="235" t="s">
        <v>394</v>
      </c>
      <c r="E188" s="235" t="s">
        <v>222</v>
      </c>
      <c r="F188" s="487">
        <v>3645.6</v>
      </c>
      <c r="G188" s="374">
        <v>2557.8000000000002</v>
      </c>
      <c r="H188" s="303">
        <f t="shared" si="12"/>
        <v>0.70161290322580649</v>
      </c>
      <c r="I188" s="8"/>
      <c r="J188" s="8"/>
      <c r="K188" s="419"/>
      <c r="L188" s="367"/>
      <c r="M188" s="294"/>
    </row>
    <row r="189" spans="1:13" ht="22.8">
      <c r="A189" s="440" t="s">
        <v>520</v>
      </c>
      <c r="B189" s="479" t="s">
        <v>544</v>
      </c>
      <c r="C189" s="479" t="s">
        <v>234</v>
      </c>
      <c r="D189" s="409" t="s">
        <v>524</v>
      </c>
      <c r="E189" s="409"/>
      <c r="F189" s="501">
        <f>F190+F192+F194</f>
        <v>7463.0999999999995</v>
      </c>
      <c r="G189" s="501">
        <f>G190+G192+G194</f>
        <v>7384.7999999999993</v>
      </c>
      <c r="H189" s="303">
        <f t="shared" si="12"/>
        <v>0.98950838123567952</v>
      </c>
      <c r="I189" s="8"/>
      <c r="J189" s="8"/>
      <c r="K189" s="419"/>
      <c r="L189" s="367"/>
      <c r="M189" s="294"/>
    </row>
    <row r="190" spans="1:13" ht="36">
      <c r="A190" s="441" t="s">
        <v>521</v>
      </c>
      <c r="B190" s="410" t="s">
        <v>544</v>
      </c>
      <c r="C190" s="410" t="s">
        <v>234</v>
      </c>
      <c r="D190" s="410" t="s">
        <v>524</v>
      </c>
      <c r="E190" s="410" t="s">
        <v>282</v>
      </c>
      <c r="F190" s="489">
        <f>F191</f>
        <v>6311.4</v>
      </c>
      <c r="G190" s="489">
        <f>G191</f>
        <v>6311.4</v>
      </c>
      <c r="H190" s="303">
        <f t="shared" si="12"/>
        <v>1</v>
      </c>
      <c r="I190" s="8"/>
      <c r="J190" s="8"/>
      <c r="K190" s="419"/>
      <c r="L190" s="367"/>
      <c r="M190" s="294"/>
    </row>
    <row r="191" spans="1:13" ht="36">
      <c r="A191" s="441" t="s">
        <v>521</v>
      </c>
      <c r="B191" s="410" t="s">
        <v>544</v>
      </c>
      <c r="C191" s="410" t="s">
        <v>234</v>
      </c>
      <c r="D191" s="410" t="s">
        <v>524</v>
      </c>
      <c r="E191" s="410" t="s">
        <v>283</v>
      </c>
      <c r="F191" s="414">
        <v>6311.4</v>
      </c>
      <c r="G191" s="381">
        <v>6311.4</v>
      </c>
      <c r="H191" s="303">
        <f>G191/F191</f>
        <v>1</v>
      </c>
      <c r="I191" s="8"/>
      <c r="J191" s="8"/>
      <c r="K191" s="419"/>
      <c r="L191" s="367"/>
      <c r="M191" s="294"/>
    </row>
    <row r="192" spans="1:13" ht="25.8" customHeight="1">
      <c r="A192" s="442" t="s">
        <v>289</v>
      </c>
      <c r="B192" s="410" t="s">
        <v>544</v>
      </c>
      <c r="C192" s="410" t="s">
        <v>234</v>
      </c>
      <c r="D192" s="410" t="s">
        <v>524</v>
      </c>
      <c r="E192" s="410" t="s">
        <v>288</v>
      </c>
      <c r="F192" s="486">
        <f>F193</f>
        <v>1151.5</v>
      </c>
      <c r="G192" s="486">
        <f>G193</f>
        <v>1073.2</v>
      </c>
      <c r="H192" s="303">
        <f t="shared" si="12"/>
        <v>0.9320017368649588</v>
      </c>
      <c r="I192" s="8"/>
      <c r="J192" s="8"/>
      <c r="K192" s="419"/>
      <c r="L192" s="367"/>
      <c r="M192" s="294"/>
    </row>
    <row r="193" spans="1:13" ht="28.2" customHeight="1">
      <c r="A193" s="441" t="s">
        <v>266</v>
      </c>
      <c r="B193" s="410" t="s">
        <v>544</v>
      </c>
      <c r="C193" s="410" t="s">
        <v>234</v>
      </c>
      <c r="D193" s="410" t="s">
        <v>524</v>
      </c>
      <c r="E193" s="410" t="s">
        <v>222</v>
      </c>
      <c r="F193" s="414">
        <v>1151.5</v>
      </c>
      <c r="G193" s="381">
        <v>1073.2</v>
      </c>
      <c r="H193" s="303">
        <f t="shared" si="12"/>
        <v>0.9320017368649588</v>
      </c>
      <c r="I193" s="8"/>
      <c r="J193" s="8"/>
      <c r="K193" s="419"/>
      <c r="L193" s="367"/>
      <c r="M193" s="294"/>
    </row>
    <row r="194" spans="1:13">
      <c r="A194" s="405" t="s">
        <v>522</v>
      </c>
      <c r="B194" s="410" t="s">
        <v>544</v>
      </c>
      <c r="C194" s="410" t="s">
        <v>234</v>
      </c>
      <c r="D194" s="410" t="s">
        <v>524</v>
      </c>
      <c r="E194" s="410" t="s">
        <v>290</v>
      </c>
      <c r="F194" s="486">
        <v>0.2</v>
      </c>
      <c r="G194" s="486">
        <v>0.2</v>
      </c>
      <c r="H194" s="303">
        <f t="shared" si="12"/>
        <v>1</v>
      </c>
      <c r="I194" s="8"/>
      <c r="J194" s="8"/>
      <c r="K194" s="419"/>
      <c r="L194" s="367"/>
      <c r="M194" s="294"/>
    </row>
    <row r="195" spans="1:13" ht="14.4" thickBot="1">
      <c r="A195" s="408" t="s">
        <v>523</v>
      </c>
      <c r="B195" s="410" t="s">
        <v>544</v>
      </c>
      <c r="C195" s="410" t="s">
        <v>234</v>
      </c>
      <c r="D195" s="412" t="s">
        <v>524</v>
      </c>
      <c r="E195" s="413" t="s">
        <v>292</v>
      </c>
      <c r="F195" s="502">
        <f>'[2]Функц.2020 (прил 3) '!$L$198</f>
        <v>0.20000000000000018</v>
      </c>
      <c r="G195" s="502">
        <f>'[2]Функц.2020 (прил 3) '!$L$198</f>
        <v>0.20000000000000018</v>
      </c>
      <c r="H195" s="303">
        <f t="shared" si="12"/>
        <v>1</v>
      </c>
      <c r="I195" s="8"/>
      <c r="J195" s="8"/>
      <c r="K195" s="419"/>
      <c r="L195" s="367"/>
      <c r="M195" s="294"/>
    </row>
    <row r="196" spans="1:13" ht="14.4" thickBot="1">
      <c r="A196" s="481" t="s">
        <v>31</v>
      </c>
      <c r="B196" s="349" t="s">
        <v>544</v>
      </c>
      <c r="C196" s="349">
        <v>1000</v>
      </c>
      <c r="D196" s="349"/>
      <c r="E196" s="349"/>
      <c r="F196" s="503">
        <f>F197+F203</f>
        <v>1427.9</v>
      </c>
      <c r="G196" s="503">
        <f>G197+G203</f>
        <v>1376.4</v>
      </c>
      <c r="H196" s="303">
        <f t="shared" si="12"/>
        <v>0.96393304853281048</v>
      </c>
      <c r="I196" s="8"/>
      <c r="J196" s="8"/>
      <c r="K196" s="419"/>
      <c r="L196" s="367"/>
      <c r="M196" s="294"/>
    </row>
    <row r="197" spans="1:13">
      <c r="A197" s="447" t="s">
        <v>193</v>
      </c>
      <c r="B197" s="252" t="s">
        <v>544</v>
      </c>
      <c r="C197" s="252" t="s">
        <v>192</v>
      </c>
      <c r="D197" s="252"/>
      <c r="E197" s="252"/>
      <c r="F197" s="484">
        <f>F200</f>
        <v>346.5</v>
      </c>
      <c r="G197" s="484">
        <f>G200</f>
        <v>346.5</v>
      </c>
      <c r="H197" s="303">
        <f t="shared" si="12"/>
        <v>1</v>
      </c>
      <c r="I197" s="8"/>
      <c r="J197" s="8"/>
      <c r="K197" s="419"/>
      <c r="L197" s="367"/>
      <c r="M197" s="294"/>
    </row>
    <row r="198" spans="1:13">
      <c r="A198" s="482" t="s">
        <v>427</v>
      </c>
      <c r="B198" s="237" t="s">
        <v>544</v>
      </c>
      <c r="C198" s="237" t="s">
        <v>192</v>
      </c>
      <c r="D198" s="237" t="s">
        <v>426</v>
      </c>
      <c r="E198" s="237" t="s">
        <v>294</v>
      </c>
      <c r="F198" s="496">
        <f>F199</f>
        <v>0</v>
      </c>
      <c r="G198" s="496">
        <f>G199</f>
        <v>0</v>
      </c>
      <c r="H198" s="303">
        <v>0</v>
      </c>
      <c r="I198" s="8"/>
      <c r="J198" s="8"/>
      <c r="K198" s="419"/>
      <c r="L198" s="367"/>
      <c r="M198" s="294"/>
    </row>
    <row r="199" spans="1:13" ht="24">
      <c r="A199" s="482" t="s">
        <v>428</v>
      </c>
      <c r="B199" s="237" t="s">
        <v>544</v>
      </c>
      <c r="C199" s="237" t="s">
        <v>192</v>
      </c>
      <c r="D199" s="237" t="s">
        <v>426</v>
      </c>
      <c r="E199" s="237" t="s">
        <v>429</v>
      </c>
      <c r="F199" s="496">
        <v>0</v>
      </c>
      <c r="G199" s="480">
        <v>0</v>
      </c>
      <c r="H199" s="303">
        <v>0</v>
      </c>
      <c r="I199" s="8"/>
      <c r="J199" s="8"/>
      <c r="K199" s="419"/>
      <c r="L199" s="367"/>
      <c r="M199" s="294"/>
    </row>
    <row r="200" spans="1:13" ht="34.200000000000003">
      <c r="A200" s="443" t="s">
        <v>556</v>
      </c>
      <c r="B200" s="271" t="s">
        <v>544</v>
      </c>
      <c r="C200" s="271" t="s">
        <v>192</v>
      </c>
      <c r="D200" s="259" t="s">
        <v>395</v>
      </c>
      <c r="E200" s="271"/>
      <c r="F200" s="485">
        <f>F202</f>
        <v>346.5</v>
      </c>
      <c r="G200" s="485">
        <f>G202</f>
        <v>346.5</v>
      </c>
      <c r="H200" s="303">
        <f t="shared" ref="H200:H225" si="16">G200/F200</f>
        <v>1</v>
      </c>
      <c r="I200" s="8"/>
      <c r="J200" s="8"/>
      <c r="K200" s="419"/>
      <c r="L200" s="367"/>
      <c r="M200" s="294"/>
    </row>
    <row r="201" spans="1:13" ht="36">
      <c r="A201" s="476" t="s">
        <v>296</v>
      </c>
      <c r="B201" s="273" t="s">
        <v>544</v>
      </c>
      <c r="C201" s="273" t="s">
        <v>192</v>
      </c>
      <c r="D201" s="238" t="s">
        <v>395</v>
      </c>
      <c r="E201" s="273" t="s">
        <v>294</v>
      </c>
      <c r="F201" s="486">
        <f>F202</f>
        <v>346.5</v>
      </c>
      <c r="G201" s="486">
        <f>G202</f>
        <v>346.5</v>
      </c>
      <c r="H201" s="303">
        <f t="shared" si="16"/>
        <v>1</v>
      </c>
      <c r="I201" s="8"/>
      <c r="J201" s="8"/>
      <c r="K201" s="419"/>
      <c r="L201" s="367"/>
      <c r="M201" s="294"/>
    </row>
    <row r="202" spans="1:13" ht="36">
      <c r="A202" s="476" t="s">
        <v>297</v>
      </c>
      <c r="B202" s="273" t="s">
        <v>544</v>
      </c>
      <c r="C202" s="273" t="s">
        <v>192</v>
      </c>
      <c r="D202" s="238" t="s">
        <v>395</v>
      </c>
      <c r="E202" s="273" t="s">
        <v>295</v>
      </c>
      <c r="F202" s="486">
        <v>346.5</v>
      </c>
      <c r="G202" s="486">
        <v>346.5</v>
      </c>
      <c r="H202" s="303">
        <f t="shared" si="16"/>
        <v>1</v>
      </c>
      <c r="I202" s="8"/>
      <c r="J202" s="8"/>
      <c r="K202" s="419"/>
      <c r="L202" s="367"/>
      <c r="M202" s="294"/>
    </row>
    <row r="203" spans="1:13">
      <c r="A203" s="256" t="s">
        <v>150</v>
      </c>
      <c r="B203" s="253" t="s">
        <v>544</v>
      </c>
      <c r="C203" s="253" t="s">
        <v>36</v>
      </c>
      <c r="D203" s="253"/>
      <c r="E203" s="253"/>
      <c r="F203" s="485">
        <f>F204</f>
        <v>1081.4000000000001</v>
      </c>
      <c r="G203" s="485">
        <f>G204</f>
        <v>1029.9000000000001</v>
      </c>
      <c r="H203" s="303">
        <f t="shared" si="16"/>
        <v>0.95237654891806922</v>
      </c>
      <c r="I203" s="8"/>
      <c r="J203" s="8"/>
      <c r="K203" s="419"/>
      <c r="L203" s="367"/>
      <c r="M203" s="294"/>
    </row>
    <row r="204" spans="1:13" ht="45.6">
      <c r="A204" s="256" t="s">
        <v>409</v>
      </c>
      <c r="B204" s="253" t="s">
        <v>544</v>
      </c>
      <c r="C204" s="253" t="s">
        <v>36</v>
      </c>
      <c r="D204" s="253" t="s">
        <v>410</v>
      </c>
      <c r="E204" s="253"/>
      <c r="F204" s="504">
        <f>F206</f>
        <v>1081.4000000000001</v>
      </c>
      <c r="G204" s="504">
        <f>G206</f>
        <v>1029.9000000000001</v>
      </c>
      <c r="H204" s="303">
        <f t="shared" si="16"/>
        <v>0.95237654891806922</v>
      </c>
      <c r="I204" s="8"/>
      <c r="J204" s="8"/>
      <c r="K204" s="419"/>
      <c r="L204" s="367"/>
      <c r="M204" s="294"/>
    </row>
    <row r="205" spans="1:13" ht="26.4" customHeight="1">
      <c r="A205" s="476" t="s">
        <v>296</v>
      </c>
      <c r="B205" s="235" t="s">
        <v>544</v>
      </c>
      <c r="C205" s="235" t="s">
        <v>36</v>
      </c>
      <c r="D205" s="235" t="s">
        <v>410</v>
      </c>
      <c r="E205" s="235" t="s">
        <v>294</v>
      </c>
      <c r="F205" s="486">
        <f>F206</f>
        <v>1081.4000000000001</v>
      </c>
      <c r="G205" s="486">
        <f>G206</f>
        <v>1029.9000000000001</v>
      </c>
      <c r="H205" s="303">
        <f t="shared" si="16"/>
        <v>0.95237654891806922</v>
      </c>
      <c r="I205" s="8"/>
      <c r="J205" s="8"/>
      <c r="K205" s="419"/>
      <c r="L205" s="367"/>
      <c r="M205" s="294"/>
    </row>
    <row r="206" spans="1:13" ht="24.6" customHeight="1" thickBot="1">
      <c r="A206" s="476" t="s">
        <v>297</v>
      </c>
      <c r="B206" s="235" t="s">
        <v>544</v>
      </c>
      <c r="C206" s="235" t="s">
        <v>36</v>
      </c>
      <c r="D206" s="235" t="s">
        <v>410</v>
      </c>
      <c r="E206" s="235" t="s">
        <v>295</v>
      </c>
      <c r="F206" s="486">
        <v>1081.4000000000001</v>
      </c>
      <c r="G206" s="373">
        <v>1029.9000000000001</v>
      </c>
      <c r="H206" s="303">
        <f t="shared" si="16"/>
        <v>0.95237654891806922</v>
      </c>
      <c r="I206" s="8"/>
      <c r="J206" s="8"/>
      <c r="K206" s="419"/>
      <c r="L206" s="367"/>
      <c r="M206" s="294"/>
    </row>
    <row r="207" spans="1:13" ht="14.4" thickBot="1">
      <c r="A207" s="451" t="s">
        <v>149</v>
      </c>
      <c r="B207" s="258" t="s">
        <v>544</v>
      </c>
      <c r="C207" s="258" t="s">
        <v>161</v>
      </c>
      <c r="D207" s="258"/>
      <c r="E207" s="258"/>
      <c r="F207" s="492">
        <f t="shared" ref="F207:G207" si="17">F208</f>
        <v>1532.1999999999998</v>
      </c>
      <c r="G207" s="492">
        <f t="shared" si="17"/>
        <v>1516.5</v>
      </c>
      <c r="H207" s="303">
        <f t="shared" si="16"/>
        <v>0.98975329591437156</v>
      </c>
      <c r="I207" s="8"/>
      <c r="J207" s="8"/>
      <c r="K207" s="419"/>
      <c r="L207" s="367"/>
      <c r="M207" s="294"/>
    </row>
    <row r="208" spans="1:13">
      <c r="A208" s="452" t="s">
        <v>162</v>
      </c>
      <c r="B208" s="252" t="s">
        <v>544</v>
      </c>
      <c r="C208" s="252" t="s">
        <v>160</v>
      </c>
      <c r="D208" s="252"/>
      <c r="E208" s="252"/>
      <c r="F208" s="484">
        <f>F209+F212</f>
        <v>1532.1999999999998</v>
      </c>
      <c r="G208" s="484">
        <f>G209+G212</f>
        <v>1516.5</v>
      </c>
      <c r="H208" s="303">
        <f t="shared" si="16"/>
        <v>0.98975329591437156</v>
      </c>
      <c r="I208" s="8"/>
      <c r="J208" s="8"/>
      <c r="K208" s="419"/>
      <c r="L208" s="367"/>
      <c r="M208" s="294"/>
    </row>
    <row r="209" spans="1:13" ht="68.400000000000006">
      <c r="A209" s="439" t="s">
        <v>557</v>
      </c>
      <c r="B209" s="253" t="s">
        <v>544</v>
      </c>
      <c r="C209" s="253" t="s">
        <v>160</v>
      </c>
      <c r="D209" s="259" t="s">
        <v>396</v>
      </c>
      <c r="E209" s="253"/>
      <c r="F209" s="485">
        <f>F210</f>
        <v>0</v>
      </c>
      <c r="G209" s="485">
        <f>G210</f>
        <v>0</v>
      </c>
      <c r="H209" s="303">
        <v>0</v>
      </c>
      <c r="I209" s="8"/>
      <c r="J209" s="8"/>
      <c r="K209" s="419"/>
      <c r="L209" s="367"/>
      <c r="M209" s="294"/>
    </row>
    <row r="210" spans="1:13" ht="33.6" customHeight="1">
      <c r="A210" s="426" t="s">
        <v>289</v>
      </c>
      <c r="B210" s="238" t="s">
        <v>544</v>
      </c>
      <c r="C210" s="238" t="s">
        <v>160</v>
      </c>
      <c r="D210" s="238" t="s">
        <v>558</v>
      </c>
      <c r="E210" s="238" t="s">
        <v>288</v>
      </c>
      <c r="F210" s="487">
        <f>F211</f>
        <v>0</v>
      </c>
      <c r="G210" s="487">
        <f>G211</f>
        <v>0</v>
      </c>
      <c r="H210" s="303">
        <v>0</v>
      </c>
      <c r="I210" s="8"/>
      <c r="J210" s="8"/>
      <c r="K210" s="419"/>
      <c r="L210" s="367"/>
      <c r="M210" s="294"/>
    </row>
    <row r="211" spans="1:13" ht="36">
      <c r="A211" s="234" t="s">
        <v>266</v>
      </c>
      <c r="B211" s="238" t="s">
        <v>544</v>
      </c>
      <c r="C211" s="238" t="s">
        <v>160</v>
      </c>
      <c r="D211" s="238" t="s">
        <v>558</v>
      </c>
      <c r="E211" s="238" t="s">
        <v>222</v>
      </c>
      <c r="F211" s="487">
        <v>0</v>
      </c>
      <c r="G211" s="487">
        <v>0</v>
      </c>
      <c r="H211" s="303">
        <v>0</v>
      </c>
      <c r="I211" s="8"/>
      <c r="J211" s="8"/>
      <c r="K211" s="419"/>
      <c r="L211" s="367"/>
      <c r="M211" s="294"/>
    </row>
    <row r="212" spans="1:13" ht="22.8">
      <c r="A212" s="440" t="s">
        <v>520</v>
      </c>
      <c r="B212" s="479" t="s">
        <v>544</v>
      </c>
      <c r="C212" s="479" t="s">
        <v>160</v>
      </c>
      <c r="D212" s="409" t="s">
        <v>524</v>
      </c>
      <c r="E212" s="479"/>
      <c r="F212" s="501">
        <f>F213+F215</f>
        <v>1532.1999999999998</v>
      </c>
      <c r="G212" s="501">
        <f>G213+G215</f>
        <v>1516.5</v>
      </c>
      <c r="H212" s="303">
        <f t="shared" si="16"/>
        <v>0.98975329591437156</v>
      </c>
      <c r="I212" s="8"/>
      <c r="J212" s="8"/>
      <c r="K212" s="419"/>
      <c r="L212" s="367"/>
      <c r="M212" s="294"/>
    </row>
    <row r="213" spans="1:13" ht="36">
      <c r="A213" s="441" t="s">
        <v>521</v>
      </c>
      <c r="B213" s="410" t="s">
        <v>544</v>
      </c>
      <c r="C213" s="410" t="s">
        <v>160</v>
      </c>
      <c r="D213" s="410" t="s">
        <v>524</v>
      </c>
      <c r="E213" s="410" t="s">
        <v>282</v>
      </c>
      <c r="F213" s="489">
        <f>F214</f>
        <v>1398.6</v>
      </c>
      <c r="G213" s="489">
        <f>G214</f>
        <v>1393.4</v>
      </c>
      <c r="H213" s="303">
        <f t="shared" si="16"/>
        <v>0.99628199628199643</v>
      </c>
      <c r="I213" s="8"/>
      <c r="J213" s="8"/>
      <c r="K213" s="419"/>
      <c r="L213" s="367"/>
      <c r="M213" s="294"/>
    </row>
    <row r="214" spans="1:13" ht="36">
      <c r="A214" s="441" t="s">
        <v>521</v>
      </c>
      <c r="B214" s="410" t="s">
        <v>544</v>
      </c>
      <c r="C214" s="410" t="s">
        <v>160</v>
      </c>
      <c r="D214" s="410" t="s">
        <v>524</v>
      </c>
      <c r="E214" s="410" t="s">
        <v>283</v>
      </c>
      <c r="F214" s="417">
        <v>1398.6</v>
      </c>
      <c r="G214" s="381">
        <v>1393.4</v>
      </c>
      <c r="H214" s="303">
        <f t="shared" si="16"/>
        <v>0.99628199628199643</v>
      </c>
      <c r="I214" s="8"/>
      <c r="J214" s="8"/>
      <c r="K214" s="419"/>
      <c r="L214" s="367"/>
      <c r="M214" s="294"/>
    </row>
    <row r="215" spans="1:13" ht="60">
      <c r="A215" s="442" t="s">
        <v>289</v>
      </c>
      <c r="B215" s="410" t="s">
        <v>544</v>
      </c>
      <c r="C215" s="410" t="s">
        <v>160</v>
      </c>
      <c r="D215" s="410" t="s">
        <v>524</v>
      </c>
      <c r="E215" s="410" t="s">
        <v>288</v>
      </c>
      <c r="F215" s="486">
        <f>F216</f>
        <v>133.6</v>
      </c>
      <c r="G215" s="486">
        <f>G216</f>
        <v>123.1</v>
      </c>
      <c r="H215" s="303">
        <f t="shared" si="16"/>
        <v>0.92140718562874246</v>
      </c>
      <c r="I215" s="8"/>
      <c r="J215" s="8"/>
      <c r="K215" s="419"/>
      <c r="L215" s="367"/>
      <c r="M215" s="294"/>
    </row>
    <row r="216" spans="1:13" ht="36.6" thickBot="1">
      <c r="A216" s="441" t="s">
        <v>266</v>
      </c>
      <c r="B216" s="410" t="s">
        <v>544</v>
      </c>
      <c r="C216" s="410" t="s">
        <v>160</v>
      </c>
      <c r="D216" s="410" t="s">
        <v>524</v>
      </c>
      <c r="E216" s="410" t="s">
        <v>222</v>
      </c>
      <c r="F216" s="381">
        <v>133.6</v>
      </c>
      <c r="G216" s="381">
        <v>123.1</v>
      </c>
      <c r="H216" s="303">
        <f t="shared" si="16"/>
        <v>0.92140718562874246</v>
      </c>
      <c r="I216" s="8"/>
      <c r="J216" s="8"/>
      <c r="K216" s="419"/>
      <c r="L216" s="367"/>
      <c r="M216" s="294"/>
    </row>
    <row r="217" spans="1:13" ht="14.4" thickBot="1">
      <c r="A217" s="451" t="s">
        <v>163</v>
      </c>
      <c r="B217" s="258" t="s">
        <v>544</v>
      </c>
      <c r="C217" s="258" t="s">
        <v>164</v>
      </c>
      <c r="D217" s="258"/>
      <c r="E217" s="258"/>
      <c r="F217" s="492">
        <f>F218</f>
        <v>692.4</v>
      </c>
      <c r="G217" s="492">
        <f>G218</f>
        <v>692.4</v>
      </c>
      <c r="H217" s="303">
        <f t="shared" si="16"/>
        <v>1</v>
      </c>
      <c r="I217" s="8"/>
      <c r="J217" s="8"/>
      <c r="K217" s="419"/>
      <c r="L217" s="367"/>
      <c r="M217" s="294"/>
    </row>
    <row r="218" spans="1:13">
      <c r="A218" s="452" t="s">
        <v>166</v>
      </c>
      <c r="B218" s="252" t="s">
        <v>544</v>
      </c>
      <c r="C218" s="252" t="s">
        <v>165</v>
      </c>
      <c r="D218" s="252"/>
      <c r="E218" s="252"/>
      <c r="F218" s="484">
        <f>F219+F222</f>
        <v>692.4</v>
      </c>
      <c r="G218" s="484">
        <f>G219+G222</f>
        <v>692.4</v>
      </c>
      <c r="H218" s="303">
        <f t="shared" si="16"/>
        <v>1</v>
      </c>
      <c r="I218" s="8"/>
      <c r="J218" s="8"/>
      <c r="K218" s="419"/>
      <c r="L218" s="367"/>
      <c r="M218" s="294"/>
    </row>
    <row r="219" spans="1:13" ht="22.8">
      <c r="A219" s="439" t="s">
        <v>559</v>
      </c>
      <c r="B219" s="253" t="s">
        <v>544</v>
      </c>
      <c r="C219" s="253" t="s">
        <v>165</v>
      </c>
      <c r="D219" s="253" t="s">
        <v>397</v>
      </c>
      <c r="E219" s="253"/>
      <c r="F219" s="485">
        <f>F221</f>
        <v>692.4</v>
      </c>
      <c r="G219" s="485">
        <f>G221</f>
        <v>692.4</v>
      </c>
      <c r="H219" s="303">
        <f t="shared" si="16"/>
        <v>1</v>
      </c>
      <c r="I219" s="8"/>
      <c r="J219" s="8"/>
      <c r="K219" s="419"/>
      <c r="L219" s="367"/>
      <c r="M219" s="294"/>
    </row>
    <row r="220" spans="1:13" ht="25.2" customHeight="1">
      <c r="A220" s="426" t="s">
        <v>289</v>
      </c>
      <c r="B220" s="235" t="s">
        <v>544</v>
      </c>
      <c r="C220" s="235" t="s">
        <v>165</v>
      </c>
      <c r="D220" s="235" t="s">
        <v>397</v>
      </c>
      <c r="E220" s="238" t="s">
        <v>288</v>
      </c>
      <c r="F220" s="486">
        <f>F221</f>
        <v>692.4</v>
      </c>
      <c r="G220" s="486">
        <f>G221</f>
        <v>692.4</v>
      </c>
      <c r="H220" s="303">
        <f t="shared" si="16"/>
        <v>1</v>
      </c>
      <c r="I220" s="8"/>
      <c r="J220" s="8"/>
      <c r="K220" s="419"/>
      <c r="L220" s="367"/>
      <c r="M220" s="294"/>
    </row>
    <row r="221" spans="1:13" ht="36">
      <c r="A221" s="234" t="s">
        <v>266</v>
      </c>
      <c r="B221" s="235" t="s">
        <v>544</v>
      </c>
      <c r="C221" s="235" t="s">
        <v>165</v>
      </c>
      <c r="D221" s="235" t="s">
        <v>397</v>
      </c>
      <c r="E221" s="238" t="s">
        <v>222</v>
      </c>
      <c r="F221" s="486">
        <v>692.4</v>
      </c>
      <c r="G221" s="486">
        <v>692.4</v>
      </c>
      <c r="H221" s="303">
        <f t="shared" si="16"/>
        <v>1</v>
      </c>
      <c r="I221" s="8"/>
      <c r="J221" s="8"/>
      <c r="K221" s="419"/>
      <c r="L221" s="367"/>
      <c r="M221" s="294"/>
    </row>
    <row r="222" spans="1:13" ht="22.8">
      <c r="A222" s="478" t="s">
        <v>560</v>
      </c>
      <c r="B222" s="253" t="s">
        <v>544</v>
      </c>
      <c r="C222" s="253" t="s">
        <v>165</v>
      </c>
      <c r="D222" s="253" t="s">
        <v>561</v>
      </c>
      <c r="E222" s="253"/>
      <c r="F222" s="501">
        <f>F224</f>
        <v>0</v>
      </c>
      <c r="G222" s="501">
        <f>G224</f>
        <v>0</v>
      </c>
      <c r="H222" s="303">
        <v>0</v>
      </c>
      <c r="I222" s="8"/>
      <c r="J222" s="8"/>
      <c r="K222" s="419"/>
      <c r="L222" s="367"/>
      <c r="M222" s="294"/>
    </row>
    <row r="223" spans="1:13" ht="30.6" customHeight="1">
      <c r="A223" s="426" t="s">
        <v>289</v>
      </c>
      <c r="B223" s="238" t="s">
        <v>544</v>
      </c>
      <c r="C223" s="238" t="s">
        <v>165</v>
      </c>
      <c r="D223" s="235" t="s">
        <v>561</v>
      </c>
      <c r="E223" s="238" t="s">
        <v>288</v>
      </c>
      <c r="F223" s="487">
        <f>F224</f>
        <v>0</v>
      </c>
      <c r="G223" s="487">
        <f>G224</f>
        <v>0</v>
      </c>
      <c r="H223" s="303">
        <v>0</v>
      </c>
      <c r="I223" s="8"/>
      <c r="J223" s="8"/>
      <c r="K223" s="419"/>
      <c r="L223" s="367"/>
      <c r="M223" s="294"/>
    </row>
    <row r="224" spans="1:13" ht="25.8" customHeight="1" thickBot="1">
      <c r="A224" s="234" t="s">
        <v>266</v>
      </c>
      <c r="B224" s="238" t="s">
        <v>544</v>
      </c>
      <c r="C224" s="238" t="s">
        <v>165</v>
      </c>
      <c r="D224" s="235" t="s">
        <v>561</v>
      </c>
      <c r="E224" s="238" t="s">
        <v>222</v>
      </c>
      <c r="F224" s="487">
        <v>0</v>
      </c>
      <c r="G224" s="487">
        <v>0</v>
      </c>
      <c r="H224" s="303">
        <v>0</v>
      </c>
      <c r="I224" s="8"/>
      <c r="J224" s="8"/>
      <c r="K224" s="419"/>
      <c r="L224" s="367"/>
      <c r="M224" s="294"/>
    </row>
    <row r="225" spans="1:13" ht="14.4" thickBot="1">
      <c r="A225" s="483" t="s">
        <v>32</v>
      </c>
      <c r="B225" s="483"/>
      <c r="C225" s="260"/>
      <c r="D225" s="260"/>
      <c r="E225" s="260"/>
      <c r="F225" s="505">
        <f>F9+F40+F37</f>
        <v>130744.69999999998</v>
      </c>
      <c r="G225" s="505">
        <f>G9+G40+G37</f>
        <v>106033.5</v>
      </c>
      <c r="H225" s="303">
        <f t="shared" si="16"/>
        <v>0.81099654517544506</v>
      </c>
      <c r="I225" s="8"/>
      <c r="J225" s="8"/>
      <c r="K225" s="419"/>
      <c r="L225" s="367"/>
      <c r="M225" s="294"/>
    </row>
  </sheetData>
  <mergeCells count="4">
    <mergeCell ref="A5:H6"/>
    <mergeCell ref="E2:H2"/>
    <mergeCell ref="G1:H1"/>
    <mergeCell ref="F3:H3"/>
  </mergeCells>
  <printOptions horizontalCentered="1"/>
  <pageMargins left="0.31496062992125984" right="0.31496062992125984" top="0.94488188976377963" bottom="0.35433070866141736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0" sqref="B10"/>
    </sheetView>
  </sheetViews>
  <sheetFormatPr defaultColWidth="9.109375" defaultRowHeight="12.6"/>
  <cols>
    <col min="1" max="1" width="27.88671875" style="113" customWidth="1"/>
    <col min="2" max="2" width="46.88671875" style="113" customWidth="1"/>
    <col min="3" max="3" width="21.44140625" style="113" customWidth="1"/>
    <col min="4" max="4" width="16.44140625" style="113" customWidth="1"/>
    <col min="5" max="5" width="17.88671875" style="113" customWidth="1"/>
    <col min="6" max="16384" width="9.109375" style="113"/>
  </cols>
  <sheetData>
    <row r="1" spans="1:5" ht="38.25" customHeight="1">
      <c r="A1" s="297"/>
      <c r="B1" s="240"/>
      <c r="C1" s="538" t="s">
        <v>570</v>
      </c>
      <c r="D1" s="538"/>
      <c r="E1" s="538"/>
    </row>
    <row r="2" spans="1:5" ht="12.75" customHeight="1">
      <c r="B2" s="280"/>
      <c r="C2" s="536" t="s">
        <v>447</v>
      </c>
      <c r="D2" s="536"/>
      <c r="E2" s="536"/>
    </row>
    <row r="3" spans="1:5" ht="22.5" customHeight="1">
      <c r="B3" s="296"/>
      <c r="E3" s="287" t="s">
        <v>484</v>
      </c>
    </row>
    <row r="4" spans="1:5" ht="13.2">
      <c r="A4" s="545" t="s">
        <v>423</v>
      </c>
      <c r="B4" s="545"/>
      <c r="C4" s="545"/>
      <c r="D4" s="545"/>
      <c r="E4" s="545"/>
    </row>
    <row r="5" spans="1:5" ht="52.5" customHeight="1">
      <c r="A5" s="530" t="s">
        <v>485</v>
      </c>
      <c r="B5" s="530"/>
      <c r="C5" s="530"/>
      <c r="D5" s="530"/>
      <c r="E5" s="530"/>
    </row>
    <row r="6" spans="1:5" ht="15.6">
      <c r="A6" s="544"/>
      <c r="B6" s="544"/>
      <c r="C6" s="544"/>
    </row>
    <row r="7" spans="1:5" ht="14.4" thickBot="1">
      <c r="A7" s="539" t="s">
        <v>303</v>
      </c>
      <c r="B7" s="539"/>
      <c r="C7" s="539"/>
    </row>
    <row r="8" spans="1:5" ht="26.4">
      <c r="A8" s="335" t="s">
        <v>304</v>
      </c>
      <c r="B8" s="336" t="s">
        <v>305</v>
      </c>
      <c r="C8" s="337" t="s">
        <v>420</v>
      </c>
      <c r="D8" s="337" t="s">
        <v>421</v>
      </c>
      <c r="E8" s="338" t="s">
        <v>422</v>
      </c>
    </row>
    <row r="9" spans="1:5" ht="27" customHeight="1">
      <c r="A9" s="546" t="s">
        <v>306</v>
      </c>
      <c r="B9" s="547"/>
      <c r="C9" s="547"/>
      <c r="D9" s="547"/>
      <c r="E9" s="548"/>
    </row>
    <row r="10" spans="1:5" ht="45" customHeight="1">
      <c r="A10" s="339" t="s">
        <v>307</v>
      </c>
      <c r="B10" s="300" t="s">
        <v>308</v>
      </c>
      <c r="C10" s="241">
        <f>C12+C11</f>
        <v>7037.8000000000029</v>
      </c>
      <c r="D10" s="241">
        <f>D12+D11</f>
        <v>-27336.399999999994</v>
      </c>
      <c r="E10" s="340"/>
    </row>
    <row r="11" spans="1:5" ht="45" customHeight="1">
      <c r="A11" s="339" t="s">
        <v>424</v>
      </c>
      <c r="B11" s="300" t="s">
        <v>309</v>
      </c>
      <c r="C11" s="242">
        <f>-'прилож 1 доходы 2020'!E55</f>
        <v>-123706.9</v>
      </c>
      <c r="D11" s="242">
        <f>-'прилож 1 доходы 2020'!N55</f>
        <v>-133369.9</v>
      </c>
      <c r="E11" s="341">
        <f>D11/C11</f>
        <v>1.0781120535717894</v>
      </c>
    </row>
    <row r="12" spans="1:5" ht="45.6" customHeight="1">
      <c r="A12" s="339" t="s">
        <v>424</v>
      </c>
      <c r="B12" s="300" t="s">
        <v>310</v>
      </c>
      <c r="C12" s="242">
        <v>130744.7</v>
      </c>
      <c r="D12" s="242">
        <v>106033.5</v>
      </c>
      <c r="E12" s="341">
        <f>D12/C12</f>
        <v>0.81099654517544495</v>
      </c>
    </row>
    <row r="13" spans="1:5" ht="32.4" customHeight="1">
      <c r="A13" s="540" t="s">
        <v>311</v>
      </c>
      <c r="B13" s="541"/>
      <c r="C13" s="242">
        <f>C12+C11</f>
        <v>7037.8000000000029</v>
      </c>
      <c r="D13" s="155">
        <f>D10</f>
        <v>-27336.399999999994</v>
      </c>
      <c r="E13" s="340"/>
    </row>
    <row r="14" spans="1:5" ht="31.2" customHeight="1" thickBot="1">
      <c r="A14" s="542" t="s">
        <v>312</v>
      </c>
      <c r="B14" s="543"/>
      <c r="C14" s="342">
        <f>C13</f>
        <v>7037.8000000000029</v>
      </c>
      <c r="D14" s="343">
        <f>D10</f>
        <v>-27336.399999999994</v>
      </c>
      <c r="E14" s="344"/>
    </row>
  </sheetData>
  <mergeCells count="9">
    <mergeCell ref="C1:E1"/>
    <mergeCell ref="C2:E2"/>
    <mergeCell ref="A7:C7"/>
    <mergeCell ref="A13:B13"/>
    <mergeCell ref="A14:B14"/>
    <mergeCell ref="A6:C6"/>
    <mergeCell ref="A4:E4"/>
    <mergeCell ref="A5:E5"/>
    <mergeCell ref="A9:E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1Р.</vt:lpstr>
      <vt:lpstr>доходы 2016</vt:lpstr>
      <vt:lpstr>прилож 1 доходы 2020</vt:lpstr>
      <vt:lpstr>Приложение 2 расх 2020</vt:lpstr>
      <vt:lpstr>прил 3 функ 2020</vt:lpstr>
      <vt:lpstr>прил 4 вед 2020</vt:lpstr>
      <vt:lpstr>Прилож 5 источники</vt:lpstr>
      <vt:lpstr>'доходы 2016'!Заголовки_для_печати</vt:lpstr>
      <vt:lpstr>'1Р.'!Область_печати</vt:lpstr>
      <vt:lpstr>'прил 3 функ 2020'!Область_печати</vt:lpstr>
    </vt:vector>
  </TitlesOfParts>
  <Company>QuasaR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user</cp:lastModifiedBy>
  <cp:lastPrinted>2021-03-19T11:20:57Z</cp:lastPrinted>
  <dcterms:created xsi:type="dcterms:W3CDTF">1999-12-27T10:35:15Z</dcterms:created>
  <dcterms:modified xsi:type="dcterms:W3CDTF">2021-05-26T08:22:09Z</dcterms:modified>
</cp:coreProperties>
</file>