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65" firstSheet="2" activeTab="8"/>
  </bookViews>
  <sheets>
    <sheet name="1Р." sheetId="1" state="hidden" r:id="rId1"/>
    <sheet name="доходы 2016" sheetId="2" state="hidden" r:id="rId2"/>
    <sheet name="Доходы" sheetId="3" r:id="rId3"/>
    <sheet name="Функц.2020 (прил 3) " sheetId="4" r:id="rId4"/>
    <sheet name="приложен.2" sheetId="5" r:id="rId5"/>
    <sheet name="ВЕД.(прилож.4)" sheetId="6" r:id="rId6"/>
    <sheet name="прилож.5" sheetId="7" r:id="rId7"/>
    <sheet name="прилож.6" sheetId="8" r:id="rId8"/>
    <sheet name="прилож.7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Titles" localSheetId="1">'доходы 2016'!$8:$8</definedName>
    <definedName name="_xlnm.Print_Area" localSheetId="0">'1Р.'!$A$1:$H$65</definedName>
    <definedName name="_xlnm.Print_Area" localSheetId="2">'Доходы'!$A$1:$S$48</definedName>
    <definedName name="_xlnm.Print_Area" localSheetId="3">'Функц.2020 (прил 3) '!$A$1:$Q$226</definedName>
  </definedNames>
  <calcPr fullCalcOnLoad="1"/>
</workbook>
</file>

<file path=xl/sharedStrings.xml><?xml version="1.0" encoding="utf-8"?>
<sst xmlns="http://schemas.openxmlformats.org/spreadsheetml/2006/main" count="2565" uniqueCount="729">
  <si>
    <t xml:space="preserve">Прочие субсидии бюджетам внутригородских муниципальных образований городов федерального значения </t>
  </si>
  <si>
    <t>993 2 02 03024 03 0100 150</t>
  </si>
  <si>
    <t xml:space="preserve">993 2 02 30027 03 0200 150 </t>
  </si>
  <si>
    <t>Субвенция бюджетам внутригородских муниципальных образований  Санкт-Петербурга на вознаграждение, причитающееся приемному родителю</t>
  </si>
  <si>
    <t>993 2 08 03000 03 0000 180</t>
  </si>
  <si>
    <t>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</si>
  <si>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РАСХОДОВ МЕСТНОГО БЮДЖЕТА МУНИЦИПАЛЬНОГО ОБРАЗОВАНИЯ ПОСЕЛОК ЛИСИЙ НОС НА 2021 год</t>
  </si>
  <si>
    <t>на 2021 год</t>
  </si>
  <si>
    <t>993 1 13 02993 03 0200 130</t>
  </si>
  <si>
    <t>5102000200</t>
  </si>
  <si>
    <t>50</t>
  </si>
  <si>
    <t>Главный распорядитель бюджетных средств - Избирательная комиссия муниципального образования п.Лисий Нос (ГРБС)</t>
  </si>
  <si>
    <t>Содержание и обеспечение деятельности Избирательной комиссии муниципального образования</t>
  </si>
  <si>
    <t>0020 100010</t>
  </si>
  <si>
    <t>3.1.1.1.2</t>
  </si>
  <si>
    <t xml:space="preserve">Временное трудоустройство несовершеннолетних в возрасте от 14 до 18 лет в свободное от учебы время
</t>
  </si>
  <si>
    <t>6.1.1.2</t>
  </si>
  <si>
    <t>6.1.1.2.1</t>
  </si>
  <si>
    <t>6.1.1.2.1.1</t>
  </si>
  <si>
    <t>№ п/п</t>
  </si>
  <si>
    <t>Источники доходов</t>
  </si>
  <si>
    <t>I</t>
  </si>
  <si>
    <t>2.</t>
  </si>
  <si>
    <t>НАЛОГИ НА СОВОКУПНЫЙ ДОХОД</t>
  </si>
  <si>
    <t>НАЛОГИ НА ИМУЩЕСТВО</t>
  </si>
  <si>
    <t>1.</t>
  </si>
  <si>
    <t>ИТОГО ДОХОДОВ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</si>
  <si>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</si>
  <si>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</si>
  <si>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</si>
  <si>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</si>
  <si>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</si>
  <si>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</si>
  <si>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</si>
  <si>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</si>
  <si>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</si>
  <si>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</si>
  <si>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</si>
  <si>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</si>
  <si>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</si>
  <si>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</si>
  <si>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</si>
  <si>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</si>
  <si>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</si>
  <si>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</si>
  <si>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</si>
  <si>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</si>
  <si>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</si>
  <si>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</si>
  <si>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</si>
  <si>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</si>
  <si>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</si>
  <si>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</si>
  <si>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</si>
  <si>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</si>
  <si>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</si>
  <si>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</si>
  <si>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0102</t>
  </si>
  <si>
    <t>1.1.1.1</t>
  </si>
  <si>
    <t>1.1.1</t>
  </si>
  <si>
    <t>0104</t>
  </si>
  <si>
    <t>II</t>
  </si>
  <si>
    <t>000 1 16 90000 00 0000 140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</si>
  <si>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</si>
  <si>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</si>
  <si>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</si>
  <si>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</si>
  <si>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</si>
  <si>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</si>
  <si>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</si>
  <si>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</si>
  <si>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</si>
  <si>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</si>
  <si>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</si>
  <si>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</si>
  <si>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</si>
  <si>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</si>
  <si>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</si>
  <si>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</si>
  <si>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</si>
  <si>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</si>
  <si>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</si>
  <si>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</si>
  <si>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</si>
  <si>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</si>
  <si>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ОБЩЕГОСУДАРСТВЕННЫЕ ВОПРОСЫ</t>
  </si>
  <si>
    <t>220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</si>
  <si>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</si>
  <si>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</si>
  <si>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</si>
  <si>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</si>
  <si>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</si>
  <si>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</si>
  <si>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</si>
  <si>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</si>
  <si>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</si>
  <si>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</si>
  <si>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Сумма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</si>
  <si>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</si>
  <si>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</si>
  <si>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</si>
  <si>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</si>
  <si>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</si>
  <si>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</si>
  <si>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</si>
  <si>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</si>
  <si>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</si>
  <si>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</si>
  <si>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</si>
  <si>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</si>
  <si>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</si>
  <si>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</si>
  <si>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</si>
  <si>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</si>
  <si>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</si>
  <si>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</si>
  <si>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</si>
  <si>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</si>
  <si>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</si>
  <si>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</si>
  <si>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</si>
  <si>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</si>
  <si>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</si>
  <si>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</si>
  <si>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</si>
  <si>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</si>
  <si>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</si>
  <si>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</si>
  <si>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</si>
  <si>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</si>
  <si>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</si>
  <si>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</si>
  <si>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</si>
  <si>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</si>
  <si>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</si>
  <si>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</si>
  <si>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</si>
  <si>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</si>
  <si>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</si>
  <si>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</si>
  <si>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</si>
  <si>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</si>
  <si>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</si>
  <si>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</si>
  <si>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</si>
  <si>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</si>
  <si>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</si>
  <si>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</si>
  <si>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</si>
  <si>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</si>
  <si>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</si>
  <si>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</si>
  <si>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</si>
  <si>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</si>
  <si>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</si>
  <si>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</si>
  <si>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</si>
  <si>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</si>
  <si>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7.1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</si>
  <si>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</si>
  <si>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</si>
  <si>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</si>
  <si>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</si>
  <si>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</si>
  <si>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</si>
  <si>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</si>
  <si>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</si>
  <si>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</si>
  <si>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</si>
  <si>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Физическая культура и спорт</t>
  </si>
  <si>
    <t>Охрана семьи и детства</t>
  </si>
  <si>
    <t xml:space="preserve">860 1 16 90030 03 0200 140 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</si>
  <si>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</si>
  <si>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</si>
  <si>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</si>
  <si>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</si>
  <si>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Защита населения и территорий от  чрезвычайных ситуаций природного и техногенного характера, гражданская оборона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</si>
  <si>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</si>
  <si>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</si>
  <si>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</si>
  <si>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</si>
  <si>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</si>
  <si>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</si>
  <si>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</si>
  <si>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</si>
  <si>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</si>
  <si>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</si>
  <si>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</si>
  <si>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</si>
  <si>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</si>
  <si>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</si>
  <si>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</si>
  <si>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</si>
  <si>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</si>
  <si>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</si>
  <si>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</si>
  <si>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</si>
  <si>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</si>
  <si>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</si>
  <si>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</si>
  <si>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</si>
  <si>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</si>
  <si>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</si>
  <si>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</si>
  <si>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</si>
  <si>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</si>
  <si>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</si>
  <si>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</si>
  <si>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</si>
  <si>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</si>
  <si>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</si>
  <si>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</si>
  <si>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</si>
  <si>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</si>
  <si>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</si>
  <si>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</si>
  <si>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</si>
  <si>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</si>
  <si>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</si>
  <si>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</si>
  <si>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</si>
  <si>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</si>
  <si>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</si>
  <si>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</si>
  <si>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</si>
  <si>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</si>
  <si>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</si>
  <si>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</si>
  <si>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</si>
  <si>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</si>
  <si>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</si>
  <si>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</si>
  <si>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</si>
  <si>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</si>
  <si>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</si>
  <si>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</si>
  <si>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</si>
  <si>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</si>
  <si>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</si>
  <si>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</si>
  <si>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</si>
  <si>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</si>
  <si>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</si>
  <si>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</si>
  <si>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</si>
  <si>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</si>
  <si>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</si>
  <si>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</si>
  <si>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</si>
  <si>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</si>
  <si>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</si>
  <si>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</si>
  <si>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</si>
  <si>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</si>
  <si>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0804</t>
  </si>
  <si>
    <t>7.1.1.1</t>
  </si>
  <si>
    <t>Периодические издания, учрежденные представительными органами местного самоуправления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</si>
  <si>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</si>
  <si>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</si>
  <si>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</si>
  <si>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</si>
  <si>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</si>
  <si>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</si>
  <si>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</si>
  <si>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</si>
  <si>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</si>
  <si>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</si>
  <si>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</si>
  <si>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</si>
  <si>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</si>
  <si>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</si>
  <si>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</si>
  <si>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</si>
  <si>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</si>
  <si>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</si>
  <si>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</si>
  <si>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</si>
  <si>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</si>
  <si>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</si>
  <si>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</si>
  <si>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</si>
  <si>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</si>
  <si>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</si>
  <si>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</si>
  <si>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</si>
  <si>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</si>
  <si>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</si>
  <si>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</si>
  <si>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 xml:space="preserve">Другие вопросы в области культуры, кинематографии
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</si>
  <si>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</si>
  <si>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</si>
  <si>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</si>
  <si>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</si>
  <si>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</si>
  <si>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</si>
  <si>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</si>
  <si>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</si>
  <si>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</si>
  <si>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</si>
  <si>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</si>
  <si>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0705</t>
  </si>
  <si>
    <t xml:space="preserve">Профессиональная подготовка, переподготовка и повышение квалификации
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</si>
  <si>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</si>
  <si>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</si>
  <si>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</si>
  <si>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</si>
  <si>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</si>
  <si>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</si>
  <si>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</si>
  <si>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</si>
  <si>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</si>
  <si>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</si>
  <si>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</si>
  <si>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</si>
  <si>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</si>
  <si>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</si>
  <si>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</si>
  <si>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</si>
  <si>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</si>
  <si>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</si>
  <si>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</si>
  <si>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</si>
  <si>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</si>
  <si>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</si>
  <si>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</si>
  <si>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</si>
  <si>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</si>
  <si>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</si>
  <si>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</si>
  <si>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</si>
  <si>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</si>
  <si>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</si>
  <si>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</si>
  <si>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</si>
  <si>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</si>
  <si>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</si>
  <si>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</si>
  <si>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</si>
  <si>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</si>
  <si>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</si>
  <si>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</si>
  <si>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</si>
  <si>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</si>
  <si>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</si>
  <si>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</si>
  <si>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</si>
  <si>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</si>
  <si>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</si>
  <si>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</si>
  <si>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</si>
  <si>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</si>
  <si>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</si>
  <si>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</si>
  <si>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</si>
  <si>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</si>
  <si>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</si>
  <si>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</si>
  <si>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</si>
  <si>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</si>
  <si>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</si>
  <si>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</si>
  <si>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</si>
  <si>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</si>
  <si>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</si>
  <si>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</si>
  <si>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</si>
  <si>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</si>
  <si>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</si>
  <si>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</si>
  <si>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</si>
  <si>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</si>
  <si>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</si>
  <si>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</si>
  <si>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</si>
  <si>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</si>
  <si>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</si>
  <si>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</si>
  <si>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</si>
  <si>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</si>
  <si>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</si>
  <si>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</si>
  <si>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</si>
  <si>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</si>
  <si>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</si>
  <si>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</si>
  <si>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</si>
  <si>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</si>
  <si>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</si>
  <si>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</si>
  <si>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</si>
  <si>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</si>
  <si>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</si>
  <si>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</si>
  <si>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</si>
  <si>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</si>
  <si>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</si>
  <si>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</si>
  <si>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</si>
  <si>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</si>
  <si>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</si>
  <si>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</si>
  <si>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45700 0025 1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</si>
  <si>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</si>
  <si>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</si>
  <si>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</si>
  <si>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</si>
  <si>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</si>
  <si>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</si>
  <si>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79500 0049 0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</si>
  <si>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</si>
  <si>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</si>
  <si>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</si>
  <si>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</si>
  <si>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</si>
  <si>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</si>
  <si>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</si>
  <si>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</si>
  <si>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</si>
  <si>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</si>
  <si>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</si>
  <si>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</si>
  <si>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</si>
  <si>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</si>
  <si>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</si>
  <si>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</si>
  <si>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Социальное обеспечение и иные выплаты населению</t>
  </si>
  <si>
    <t>4.1.1.1.1</t>
  </si>
  <si>
    <t>60000 0013 2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</si>
  <si>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</si>
  <si>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</si>
  <si>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</si>
  <si>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</si>
  <si>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Проведение оплачиваемых общественных работ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</si>
  <si>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</si>
  <si>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</si>
  <si>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</si>
  <si>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</si>
  <si>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</si>
  <si>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Обеспечение проведения выборов и референдумов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</si>
  <si>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</si>
  <si>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</si>
  <si>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</si>
  <si>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</si>
  <si>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Расходы на выплаты персоналу в целях обеспечения выполнения функций муниципальными казенными учреждениями</t>
  </si>
  <si>
    <t>Расходы по содержанию и обеспечению МКУ "Лисий Нос"</t>
  </si>
  <si>
    <t>00200 0001 2</t>
  </si>
  <si>
    <t xml:space="preserve">к решению Муниципального Совета МО пос. Лисий Нос </t>
  </si>
  <si>
    <t>51010 0010 0</t>
  </si>
  <si>
    <t>Иные бюджетные ассигнования</t>
  </si>
  <si>
    <t>Уплата налогов, сборов и иных платежей</t>
  </si>
  <si>
    <t xml:space="preserve">Обеспечение избирательной комиссии </t>
  </si>
  <si>
    <t>0020100010</t>
  </si>
  <si>
    <t>Приложение № 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</si>
  <si>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</si>
  <si>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</si>
  <si>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 xml:space="preserve">Единый налог на вмененный доход для отдельных видов деятельности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</si>
  <si>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</si>
  <si>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>2.1.1.1.0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</si>
  <si>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</si>
  <si>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2.2</t>
  </si>
  <si>
    <t>Платежи от государственных и муниципальных унитарных предприятий</t>
  </si>
  <si>
    <t>2.2.1</t>
  </si>
  <si>
    <t>3.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</si>
  <si>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</si>
  <si>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867 1 13 02993 03 0100 130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</si>
  <si>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</si>
  <si>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</si>
  <si>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</si>
  <si>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000 1 16 02010 02 0000 140 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</si>
  <si>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</si>
  <si>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</si>
  <si>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4.1.1.1.0</t>
  </si>
  <si>
    <t>806 1 16 02010 02 0100 140</t>
  </si>
  <si>
    <t>Штрафы, предусмотренные статьями 12 - 37-1 закона Санкт-Петербурга от 12.05.2010 № 273-70 (об административных правонарушениях в Санкт-Петербурге)</t>
  </si>
  <si>
    <t>860 1 16 02010 02 0100 140</t>
  </si>
  <si>
    <t>000 2 02 00000 00 0000 150</t>
  </si>
  <si>
    <t>000 2 02 10000 00 0000 150</t>
  </si>
  <si>
    <t>Дотации бюджетам бюджетной системы Российской Федерации</t>
  </si>
  <si>
    <t>000 2 02 15001 00 0000 150</t>
  </si>
  <si>
    <t>993 2 02 15001 03 0000 150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</si>
  <si>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</si>
  <si>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993 2 02 19999 03 0000 150</t>
  </si>
  <si>
    <t>Прочие дотации бюджетам внутригородских муниципальных образований городов федерального значения</t>
  </si>
  <si>
    <t>000 2 02 03000 00 0000 150</t>
  </si>
  <si>
    <t>СУБВЕНЦИИ БЮДЖЕТАМ БЮДЖЕТНОЙ СИСТЕМЫ РОССИЙСКОЙ ФЕДЕРАЦИИ</t>
  </si>
  <si>
    <t>000 2 02 30024 00 0000 150</t>
  </si>
  <si>
    <t xml:space="preserve">993 2 02 30024 03 0000 150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</si>
  <si>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</si>
  <si>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993 2 02 30024 03 0100 150 </t>
  </si>
  <si>
    <t>2.1.1.2</t>
  </si>
  <si>
    <t xml:space="preserve">993 2 02 30024 03 0200 150 </t>
  </si>
  <si>
    <t xml:space="preserve">000 2 02 30027 00 0000 150 </t>
  </si>
  <si>
    <t xml:space="preserve">993 2 02 30027 03 0100 150 </t>
  </si>
  <si>
    <t xml:space="preserve"> МЕСТНОГО БЮДЖЕТА МУНИЦИПАЛЬНОГО ОБРАЗОВАНИЯ ПОСЕЛОК ЛИСИЙ НОС НА 2021 ГОД</t>
  </si>
  <si>
    <t>опека 937,7х1,04</t>
  </si>
  <si>
    <t>на 2021 год 1169,4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</si>
  <si>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2021 год</t>
  </si>
  <si>
    <t>Функционирование Председателя избирательной комиссии  внутригородского МО пос.Лисий Нос</t>
  </si>
  <si>
    <t>0020 10001 0</t>
  </si>
  <si>
    <t>Прочая закупка товаров, работ и услуг</t>
  </si>
  <si>
    <t>Приложение №2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</si>
  <si>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2020 год</t>
  </si>
  <si>
    <t>Сумма               (тыс. руб.)</t>
  </si>
  <si>
    <t>Приложение № 4</t>
  </si>
  <si>
    <t xml:space="preserve"> ВЕДОМСТВЕННАЯ СТРУКТУРА</t>
  </si>
  <si>
    <t>№        п/п</t>
  </si>
  <si>
    <t>Код по ГРБС</t>
  </si>
  <si>
    <t>Главный распорядитель бюджетных средств - Муниципальный Совет муниципального образования п.Лисий Нос (ГРБС)</t>
  </si>
  <si>
    <t>923</t>
  </si>
  <si>
    <t>1</t>
  </si>
  <si>
    <t>1.1.1.1.1</t>
  </si>
  <si>
    <t>1.2.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</si>
  <si>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</si>
  <si>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</si>
  <si>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</si>
  <si>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</si>
  <si>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</si>
  <si>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</si>
  <si>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</si>
  <si>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 xml:space="preserve">Уплата налогов, сборов и иных платежей
</t>
  </si>
  <si>
    <t>1.2.1.2</t>
  </si>
  <si>
    <t>1.2.1.2.1</t>
  </si>
  <si>
    <t>1.2.1.2.1.1</t>
  </si>
  <si>
    <t>III</t>
  </si>
  <si>
    <t>991</t>
  </si>
  <si>
    <t>Главный распорядитель бюджетных средств - Местная администрация муниципального образования п.Лисий Нос (ГРБС)</t>
  </si>
  <si>
    <t>993</t>
  </si>
  <si>
    <t>1.1.</t>
  </si>
  <si>
    <t>Глава местной администрации (исполнительно-распорядительного органа) муниципального образования</t>
  </si>
  <si>
    <t>1.1.2.1.1</t>
  </si>
  <si>
    <t>1.1.2.2</t>
  </si>
  <si>
    <t>1.1.2.2.1</t>
  </si>
  <si>
    <t>1.1.2.3</t>
  </si>
  <si>
    <t>1.1.2.3.1</t>
  </si>
  <si>
    <t>1.1.3.1</t>
  </si>
  <si>
    <t>1.1.3.1.1</t>
  </si>
  <si>
    <t>1.1.4</t>
  </si>
  <si>
    <t>1.1.4.1</t>
  </si>
  <si>
    <t>1.1.4.1.1</t>
  </si>
  <si>
    <t>1.1.5</t>
  </si>
  <si>
    <t>1.1.5.1</t>
  </si>
  <si>
    <t>1.1.5.1.1</t>
  </si>
  <si>
    <t>1.1.5.1.1.1</t>
  </si>
  <si>
    <t>1.1.5.1.2</t>
  </si>
  <si>
    <t>1.1.5.1.2.1</t>
  </si>
  <si>
    <t>1.3.1.</t>
  </si>
  <si>
    <t>1.3.1.1</t>
  </si>
  <si>
    <t>1.3.1.1.1</t>
  </si>
  <si>
    <t>1.3.1</t>
  </si>
  <si>
    <t>1.3.1.2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</si>
  <si>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</si>
  <si>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</si>
  <si>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1.3.2</t>
  </si>
  <si>
    <t>1.3.2.1</t>
  </si>
  <si>
    <t>1.3.2.1.1</t>
  </si>
  <si>
    <t>1.3.3</t>
  </si>
  <si>
    <t>1.3.3.1</t>
  </si>
  <si>
    <t>1.3.3.1.1</t>
  </si>
  <si>
    <t>1.3.5</t>
  </si>
  <si>
    <t>1.3.5.1</t>
  </si>
  <si>
    <t>1.3.5.1.1</t>
  </si>
  <si>
    <t>1.3.4</t>
  </si>
  <si>
    <t>1.3.4.1</t>
  </si>
  <si>
    <t>1.3.4.1.1</t>
  </si>
  <si>
    <t>1.3.6</t>
  </si>
  <si>
    <t>1.3.6.1</t>
  </si>
  <si>
    <t>1.3.6.1.1</t>
  </si>
  <si>
    <t>1.3.7</t>
  </si>
  <si>
    <t>1.3.7.1</t>
  </si>
  <si>
    <t>1.3.7.1.1</t>
  </si>
  <si>
    <t>2</t>
  </si>
  <si>
    <t>2.1.1.1.1</t>
  </si>
  <si>
    <t>2.1.2</t>
  </si>
  <si>
    <t>2.1.2.1</t>
  </si>
  <si>
    <t>2.1.2.1.1</t>
  </si>
  <si>
    <t>3</t>
  </si>
  <si>
    <t>3.1.1.1.1</t>
  </si>
  <si>
    <t>3.1.2</t>
  </si>
  <si>
    <t>3.1.2.1</t>
  </si>
  <si>
    <t>3.1.2.1.1</t>
  </si>
  <si>
    <t>3.2.1.1</t>
  </si>
  <si>
    <t>3.2.1.1.1</t>
  </si>
  <si>
    <t>3.3</t>
  </si>
  <si>
    <t>3.3.1</t>
  </si>
  <si>
    <t>3.3.1.1</t>
  </si>
  <si>
    <t>3.3.1.1.1</t>
  </si>
  <si>
    <t>4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</si>
  <si>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</si>
  <si>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</si>
  <si>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</si>
  <si>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</si>
  <si>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</si>
  <si>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</si>
  <si>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</si>
  <si>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</si>
  <si>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</si>
  <si>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4.1.4.1.1.1</t>
  </si>
  <si>
    <t>4.1.2.2</t>
  </si>
  <si>
    <t>4.1.2.2.1</t>
  </si>
  <si>
    <t>4.1.2.2.1.1</t>
  </si>
  <si>
    <t>4.1.4.2</t>
  </si>
  <si>
    <t>Уборка тупиков и проездов</t>
  </si>
  <si>
    <t>4.1.4.2.1</t>
  </si>
  <si>
    <t>4.1.4.2.1.1</t>
  </si>
  <si>
    <t>4.1.5</t>
  </si>
  <si>
    <t>Озеленение территорий, зеленых насаждений внутриквартального озеленения</t>
  </si>
  <si>
    <t>4.1.3.1.1.1</t>
  </si>
  <si>
    <t>4.1.5.1</t>
  </si>
  <si>
    <t>4.1.5.1.1</t>
  </si>
  <si>
    <t>4.1.5.1.1.1</t>
  </si>
  <si>
    <t>4.1.5.2</t>
  </si>
  <si>
    <t>4.1.5.2.1</t>
  </si>
  <si>
    <t>4.1.5.2.1.1</t>
  </si>
  <si>
    <t>4.1.6</t>
  </si>
  <si>
    <t>4.1.6.1</t>
  </si>
  <si>
    <t>4.1.6.1.1</t>
  </si>
  <si>
    <t>4.1.6.1.1.1</t>
  </si>
  <si>
    <t>4.1.6.2</t>
  </si>
  <si>
    <t>4.1.6.2.1</t>
  </si>
  <si>
    <t>4.1.6.2.1.1</t>
  </si>
  <si>
    <t>4.1.6.3</t>
  </si>
  <si>
    <t>4.1.6.3.1</t>
  </si>
  <si>
    <t>4.1.6.3.1.1</t>
  </si>
  <si>
    <t>4.1.6.3.1.1.</t>
  </si>
  <si>
    <t>Размещение и содержание наружной инфйормации в части указателей, информационных щитов и стендов</t>
  </si>
  <si>
    <t>60000 0016 4</t>
  </si>
  <si>
    <t>5</t>
  </si>
  <si>
    <t>5.1.</t>
  </si>
  <si>
    <t>5.1.1.1.1</t>
  </si>
  <si>
    <t>5.2.</t>
  </si>
  <si>
    <t>Молодежная политика</t>
  </si>
  <si>
    <t>5.2.1</t>
  </si>
  <si>
    <t>5.2.1.1</t>
  </si>
  <si>
    <t>5.2.1.1.1</t>
  </si>
  <si>
    <t>5.2.2</t>
  </si>
  <si>
    <t>5.2.2.1</t>
  </si>
  <si>
    <t>5.2.2.1.1</t>
  </si>
  <si>
    <t>6</t>
  </si>
  <si>
    <t>6.1.</t>
  </si>
  <si>
    <t>6.1.1.1</t>
  </si>
  <si>
    <t>6.1.1.1.1</t>
  </si>
  <si>
    <t>6.2</t>
  </si>
  <si>
    <t>6.2.1</t>
  </si>
  <si>
    <t>6.2.1.1</t>
  </si>
  <si>
    <t>6.2.1.1.1</t>
  </si>
  <si>
    <t>6.2.2</t>
  </si>
  <si>
    <t>6.2.2.1</t>
  </si>
  <si>
    <t>6.2.2.1.1</t>
  </si>
  <si>
    <t>6.2.2.2</t>
  </si>
  <si>
    <t>6.2.2.2.1</t>
  </si>
  <si>
    <t>6.2.2.3</t>
  </si>
  <si>
    <t>6.2.2.3.1</t>
  </si>
  <si>
    <t>7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</si>
  <si>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</si>
  <si>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7.1.1.1.1</t>
  </si>
  <si>
    <t>7.2.</t>
  </si>
  <si>
    <t>7.2.1.1.1</t>
  </si>
  <si>
    <t>8</t>
  </si>
  <si>
    <t>8.1.</t>
  </si>
  <si>
    <t>8.1.1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</si>
  <si>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</si>
  <si>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8.1.1.1</t>
  </si>
  <si>
    <t>8.1.1.1.1</t>
  </si>
  <si>
    <t>8.1.1.2</t>
  </si>
  <si>
    <t>8.1.1.2.1</t>
  </si>
  <si>
    <t>9</t>
  </si>
  <si>
    <t>9.1</t>
  </si>
  <si>
    <t>9.1.1</t>
  </si>
  <si>
    <t>Периодические издания, учрежденные органами местного самоуправления</t>
  </si>
  <si>
    <t>9.1.1.1</t>
  </si>
  <si>
    <t>9.1.1.1.1</t>
  </si>
  <si>
    <t>9.1.2</t>
  </si>
  <si>
    <t>Опубликование муниципальных правовых актов, иной информации</t>
  </si>
  <si>
    <t>45700 0025 2</t>
  </si>
  <si>
    <t>9.1.2.1</t>
  </si>
  <si>
    <t>9.1.2.1.1</t>
  </si>
  <si>
    <t xml:space="preserve">                         Приложение № 5</t>
  </si>
  <si>
    <t xml:space="preserve">Источники финансирования дефицита местного бюджета муниципального </t>
  </si>
  <si>
    <t xml:space="preserve">образования пос. Лисий Нос  </t>
  </si>
  <si>
    <t>(тыс.руб.)</t>
  </si>
  <si>
    <t>Код</t>
  </si>
  <si>
    <t>Наименование</t>
  </si>
  <si>
    <t xml:space="preserve"> Сумма 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</si>
  <si>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</si>
  <si>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</si>
  <si>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</si>
  <si>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</si>
  <si>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</si>
  <si>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</si>
  <si>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</si>
  <si>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</si>
  <si>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</si>
  <si>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993 01 05 02 01 03 0000 510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</si>
  <si>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</si>
  <si>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000 01 05 00 00 00 0000 600</t>
  </si>
  <si>
    <t>Уменьшение остатков средств бюджетов</t>
  </si>
  <si>
    <t>000 01 05 02 00 00 0000 600</t>
  </si>
  <si>
    <t>Уменьшение  прочих остатков средств бюджетов</t>
  </si>
  <si>
    <t>000  01 05 02 01 00 0000 610</t>
  </si>
  <si>
    <t>Уменьшение  прочих остатков денежных  средств бюджетов</t>
  </si>
  <si>
    <t>993 01 05 02 01 03 0000 610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</si>
  <si>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</si>
  <si>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</si>
  <si>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</si>
  <si>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Приложение 6</t>
  </si>
  <si>
    <t>к решению Муниципального Совета МО пос. Лисий Нос</t>
  </si>
  <si>
    <t xml:space="preserve">Главный администратор источников финансирования </t>
  </si>
  <si>
    <t xml:space="preserve">дефицита местного бюджета муниципального </t>
  </si>
  <si>
    <t>Код бюджетной классификации Российской Федерации</t>
  </si>
  <si>
    <t xml:space="preserve">главного администратора </t>
  </si>
  <si>
    <t>источников финансирования дефицита бюджета МО пос. Лисий Нос</t>
  </si>
  <si>
    <t>01 05 02 01 03 0000 510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</si>
  <si>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</si>
  <si>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>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</si>
  <si>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</si>
  <si>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                                                                                                                                                               Приложение № 7</t>
  </si>
  <si>
    <t xml:space="preserve">Перечень и коды главных администраторов доходов местного бюджета </t>
  </si>
  <si>
    <t>№</t>
  </si>
  <si>
    <t>КБК</t>
  </si>
  <si>
    <t>Наименование кода дохода бюджета</t>
  </si>
  <si>
    <t xml:space="preserve">806 1 16 02010 02 0100 140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</si>
  <si>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</si>
  <si>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993 1 17 01030 03 0000 180</t>
  </si>
  <si>
    <t xml:space="preserve">Невыясненные поступления, зачисляемые в бюджеты внутригородских муниципальных образований городов  федерального значения </t>
  </si>
  <si>
    <t>993 1 17 05030 03 0000 180</t>
  </si>
  <si>
    <t xml:space="preserve">Прочие неналоговые доходы бюджетов внутригородских муниципальных образований городов  федерального значения </t>
  </si>
  <si>
    <t>Возврат дебиторской задолженности прошлых лет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</si>
  <si>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</si>
  <si>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993 2 02 29999 03 0000 151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</si>
</sst>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&quot;р.&quot;"/>
    <numFmt numFmtId="175" formatCode="#,##0.00&quot;р.&quot;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4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Narrow"/>
      <family val="2"/>
    </font>
    <font>
      <sz val="11"/>
      <name val="Times New Roman"/>
      <family val="1"/>
    </font>
    <font>
      <sz val="11"/>
      <name val="Bookman Old Style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MS Sans Serif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6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172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58">
      <alignment/>
      <protection/>
    </xf>
    <xf numFmtId="175" fontId="8" fillId="0" borderId="0" xfId="58" applyNumberFormat="1" applyFont="1" applyFill="1" applyBorder="1" applyAlignment="1" applyProtection="1">
      <alignment horizontal="right" vertical="top"/>
      <protection/>
    </xf>
    <xf numFmtId="0" fontId="8" fillId="0" borderId="0" xfId="58" applyNumberFormat="1" applyFont="1" applyFill="1" applyBorder="1" applyAlignment="1" applyProtection="1">
      <alignment vertical="top"/>
      <protection/>
    </xf>
    <xf numFmtId="9" fontId="8" fillId="0" borderId="0" xfId="58" applyNumberFormat="1" applyFont="1" applyFill="1" applyBorder="1" applyAlignment="1" applyProtection="1">
      <alignment vertical="top"/>
      <protection/>
    </xf>
    <xf numFmtId="168" fontId="8" fillId="0" borderId="0" xfId="58" applyNumberFormat="1" applyFont="1" applyFill="1" applyBorder="1" applyAlignment="1" applyProtection="1">
      <alignment horizontal="right" vertical="top"/>
      <protection/>
    </xf>
    <xf numFmtId="175" fontId="8" fillId="0" borderId="0" xfId="58" applyNumberFormat="1">
      <alignment/>
      <protection/>
    </xf>
    <xf numFmtId="4" fontId="8" fillId="0" borderId="0" xfId="58" applyNumberFormat="1" applyFont="1" applyFill="1" applyBorder="1" applyAlignment="1" applyProtection="1">
      <alignment vertical="top"/>
      <protection/>
    </xf>
    <xf numFmtId="175" fontId="9" fillId="0" borderId="0" xfId="58" applyNumberFormat="1" applyFont="1">
      <alignment/>
      <protection/>
    </xf>
    <xf numFmtId="175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horizontal="center" vertical="top"/>
      <protection/>
    </xf>
    <xf numFmtId="9" fontId="8" fillId="0" borderId="10" xfId="58" applyNumberFormat="1" applyFont="1" applyFill="1" applyBorder="1" applyAlignment="1" applyProtection="1">
      <alignment vertical="top"/>
      <protection/>
    </xf>
    <xf numFmtId="168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vertical="top"/>
      <protection/>
    </xf>
    <xf numFmtId="4" fontId="10" fillId="0" borderId="10" xfId="58" applyNumberFormat="1" applyFont="1" applyFill="1" applyBorder="1" applyAlignment="1" applyProtection="1">
      <alignment vertical="top"/>
      <protection/>
    </xf>
    <xf numFmtId="0" fontId="8" fillId="0" borderId="10" xfId="58" applyNumberFormat="1" applyFill="1" applyBorder="1" applyAlignment="1" applyProtection="1">
      <alignment vertical="top"/>
      <protection/>
    </xf>
    <xf numFmtId="4" fontId="10" fillId="0" borderId="0" xfId="58" applyNumberFormat="1" applyFont="1" applyFill="1" applyBorder="1" applyAlignment="1" applyProtection="1">
      <alignment vertical="top"/>
      <protection/>
    </xf>
    <xf numFmtId="175" fontId="8" fillId="0" borderId="11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vertical="top"/>
      <protection/>
    </xf>
    <xf numFmtId="0" fontId="8" fillId="0" borderId="0" xfId="58" applyNumberFormat="1" applyFont="1" applyFill="1" applyBorder="1" applyAlignment="1" applyProtection="1">
      <alignment horizontal="center" vertical="top"/>
      <protection/>
    </xf>
    <xf numFmtId="0" fontId="8" fillId="0" borderId="0" xfId="58" applyNumberFormat="1" applyFill="1" applyBorder="1" applyAlignment="1" applyProtection="1">
      <alignment vertical="top"/>
      <protection/>
    </xf>
    <xf numFmtId="174" fontId="8" fillId="0" borderId="10" xfId="58" applyNumberFormat="1" applyFont="1" applyFill="1" applyBorder="1" applyAlignment="1" applyProtection="1">
      <alignment vertical="top"/>
      <protection/>
    </xf>
    <xf numFmtId="168" fontId="10" fillId="0" borderId="10" xfId="58" applyNumberFormat="1" applyFont="1" applyFill="1" applyBorder="1" applyAlignment="1" applyProtection="1">
      <alignment horizontal="right" vertical="top"/>
      <protection/>
    </xf>
    <xf numFmtId="9" fontId="8" fillId="0" borderId="10" xfId="58" applyNumberFormat="1" applyFont="1" applyFill="1" applyBorder="1" applyAlignment="1" applyProtection="1">
      <alignment horizontal="center" vertical="top"/>
      <protection/>
    </xf>
    <xf numFmtId="9" fontId="8" fillId="0" borderId="0" xfId="58" applyNumberFormat="1" applyFont="1" applyFill="1" applyBorder="1" applyAlignment="1" applyProtection="1">
      <alignment horizontal="center" vertical="top"/>
      <protection/>
    </xf>
    <xf numFmtId="175" fontId="0" fillId="0" borderId="12" xfId="58" applyNumberFormat="1" applyFont="1" applyFill="1" applyBorder="1" applyAlignment="1" applyProtection="1">
      <alignment horizontal="right" vertical="top"/>
      <protection/>
    </xf>
    <xf numFmtId="0" fontId="8" fillId="0" borderId="13" xfId="58" applyNumberFormat="1" applyFont="1" applyFill="1" applyBorder="1" applyAlignment="1" applyProtection="1">
      <alignment horizontal="center" vertical="top"/>
      <protection/>
    </xf>
    <xf numFmtId="9" fontId="8" fillId="0" borderId="13" xfId="58" applyNumberFormat="1" applyFont="1" applyFill="1" applyBorder="1" applyAlignment="1" applyProtection="1">
      <alignment horizontal="center" vertical="top"/>
      <protection/>
    </xf>
    <xf numFmtId="176" fontId="8" fillId="0" borderId="13" xfId="58" applyNumberFormat="1" applyFill="1" applyBorder="1" applyAlignment="1" applyProtection="1">
      <alignment horizontal="right" vertical="top"/>
      <protection/>
    </xf>
    <xf numFmtId="3" fontId="8" fillId="0" borderId="13" xfId="58" applyNumberFormat="1" applyFont="1" applyFill="1" applyBorder="1" applyAlignment="1" applyProtection="1">
      <alignment horizontal="center" vertical="top"/>
      <protection/>
    </xf>
    <xf numFmtId="0" fontId="8" fillId="0" borderId="13" xfId="58" applyNumberFormat="1" applyFill="1" applyBorder="1" applyAlignment="1" applyProtection="1">
      <alignment horizontal="center" vertical="top"/>
      <protection/>
    </xf>
    <xf numFmtId="0" fontId="8" fillId="0" borderId="13" xfId="58" applyNumberFormat="1" applyFill="1" applyBorder="1" applyAlignment="1" applyProtection="1">
      <alignment vertical="top"/>
      <protection/>
    </xf>
    <xf numFmtId="0" fontId="8" fillId="0" borderId="14" xfId="58" applyNumberFormat="1" applyFont="1" applyFill="1" applyBorder="1" applyAlignment="1" applyProtection="1">
      <alignment horizontal="center" vertical="top"/>
      <protection/>
    </xf>
    <xf numFmtId="9" fontId="8" fillId="0" borderId="14" xfId="58" applyNumberFormat="1" applyFont="1" applyFill="1" applyBorder="1" applyAlignment="1" applyProtection="1">
      <alignment horizontal="center" vertical="top"/>
      <protection/>
    </xf>
    <xf numFmtId="168" fontId="8" fillId="0" borderId="14" xfId="58" applyNumberFormat="1" applyFont="1" applyFill="1" applyBorder="1" applyAlignment="1" applyProtection="1">
      <alignment horizontal="right" vertical="top"/>
      <protection/>
    </xf>
    <xf numFmtId="3" fontId="8" fillId="0" borderId="14" xfId="58" applyNumberFormat="1" applyFont="1" applyFill="1" applyBorder="1" applyAlignment="1" applyProtection="1">
      <alignment horizontal="center" vertical="top"/>
      <protection/>
    </xf>
    <xf numFmtId="0" fontId="8" fillId="0" borderId="14" xfId="58" applyNumberFormat="1" applyFill="1" applyBorder="1" applyAlignment="1" applyProtection="1">
      <alignment vertical="top"/>
      <protection/>
    </xf>
    <xf numFmtId="175" fontId="8" fillId="0" borderId="15" xfId="58" applyNumberFormat="1" applyFont="1" applyFill="1" applyBorder="1" applyAlignment="1" applyProtection="1">
      <alignment horizontal="right" vertical="top"/>
      <protection/>
    </xf>
    <xf numFmtId="168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4" xfId="58" applyNumberFormat="1" applyFont="1" applyFill="1" applyBorder="1" applyAlignment="1" applyProtection="1">
      <alignment horizontal="center" vertical="top"/>
      <protection/>
    </xf>
    <xf numFmtId="175" fontId="8" fillId="0" borderId="15" xfId="58" applyNumberFormat="1" applyFont="1" applyFill="1" applyBorder="1" applyAlignment="1" applyProtection="1">
      <alignment horizontal="right" vertical="top"/>
      <protection/>
    </xf>
    <xf numFmtId="9" fontId="8" fillId="0" borderId="14" xfId="58" applyNumberFormat="1" applyFont="1" applyFill="1" applyBorder="1" applyAlignment="1" applyProtection="1">
      <alignment horizontal="center" vertical="top"/>
      <protection/>
    </xf>
    <xf numFmtId="3" fontId="8" fillId="0" borderId="10" xfId="58" applyNumberFormat="1" applyFont="1" applyFill="1" applyBorder="1" applyAlignment="1" applyProtection="1">
      <alignment horizontal="center" vertical="top"/>
      <protection/>
    </xf>
    <xf numFmtId="175" fontId="0" fillId="0" borderId="15" xfId="58" applyNumberFormat="1" applyFont="1" applyFill="1" applyBorder="1" applyAlignment="1" applyProtection="1">
      <alignment horizontal="right" vertical="top"/>
      <protection/>
    </xf>
    <xf numFmtId="176" fontId="8" fillId="0" borderId="10" xfId="58" applyNumberFormat="1" applyFill="1" applyBorder="1" applyAlignment="1" applyProtection="1">
      <alignment horizontal="right" vertical="top"/>
      <protection/>
    </xf>
    <xf numFmtId="0" fontId="8" fillId="0" borderId="10" xfId="58" applyNumberFormat="1" applyFill="1" applyBorder="1" applyAlignment="1" applyProtection="1">
      <alignment horizontal="center" vertical="top"/>
      <protection/>
    </xf>
    <xf numFmtId="175" fontId="8" fillId="0" borderId="16" xfId="58" applyNumberFormat="1" applyFont="1" applyFill="1" applyBorder="1" applyAlignment="1" applyProtection="1">
      <alignment horizontal="right" vertical="top"/>
      <protection/>
    </xf>
    <xf numFmtId="0" fontId="8" fillId="0" borderId="17" xfId="58" applyNumberFormat="1" applyFont="1" applyFill="1" applyBorder="1" applyAlignment="1" applyProtection="1">
      <alignment horizontal="center" vertical="top"/>
      <protection/>
    </xf>
    <xf numFmtId="9" fontId="8" fillId="0" borderId="17" xfId="58" applyNumberFormat="1" applyFont="1" applyFill="1" applyBorder="1" applyAlignment="1" applyProtection="1">
      <alignment horizontal="center" vertical="top"/>
      <protection/>
    </xf>
    <xf numFmtId="168" fontId="8" fillId="0" borderId="17" xfId="58" applyNumberFormat="1" applyFont="1" applyFill="1" applyBorder="1" applyAlignment="1" applyProtection="1">
      <alignment horizontal="right" vertical="top"/>
      <protection/>
    </xf>
    <xf numFmtId="0" fontId="8" fillId="0" borderId="17" xfId="58" applyNumberFormat="1" applyFill="1" applyBorder="1" applyAlignment="1" applyProtection="1">
      <alignment horizontal="center" vertical="top"/>
      <protection/>
    </xf>
    <xf numFmtId="175" fontId="8" fillId="0" borderId="18" xfId="58" applyNumberFormat="1" applyFill="1" applyBorder="1" applyAlignment="1" applyProtection="1">
      <alignment horizontal="center" vertical="top"/>
      <protection/>
    </xf>
    <xf numFmtId="0" fontId="8" fillId="0" borderId="19" xfId="58" applyNumberFormat="1" applyFont="1" applyFill="1" applyBorder="1" applyAlignment="1" applyProtection="1">
      <alignment horizontal="center" vertical="top"/>
      <protection/>
    </xf>
    <xf numFmtId="9" fontId="8" fillId="0" borderId="19" xfId="58" applyNumberFormat="1" applyFont="1" applyFill="1" applyBorder="1" applyAlignment="1" applyProtection="1">
      <alignment horizontal="center" vertical="top"/>
      <protection/>
    </xf>
    <xf numFmtId="168" fontId="8" fillId="0" borderId="19" xfId="58" applyNumberFormat="1" applyFill="1" applyBorder="1" applyAlignment="1" applyProtection="1">
      <alignment horizontal="center" vertical="top"/>
      <protection/>
    </xf>
    <xf numFmtId="0" fontId="8" fillId="0" borderId="19" xfId="58" applyNumberFormat="1" applyFill="1" applyBorder="1" applyAlignment="1" applyProtection="1">
      <alignment horizontal="center" vertical="top"/>
      <protection/>
    </xf>
    <xf numFmtId="4" fontId="8" fillId="0" borderId="0" xfId="58" applyNumberFormat="1" applyFont="1" applyFill="1" applyBorder="1" applyAlignment="1" applyProtection="1">
      <alignment horizontal="center" vertical="top"/>
      <protection/>
    </xf>
    <xf numFmtId="0" fontId="8" fillId="0" borderId="13" xfId="58" applyNumberFormat="1" applyFont="1" applyFill="1" applyBorder="1" applyAlignment="1" applyProtection="1">
      <alignment vertical="top"/>
      <protection/>
    </xf>
    <xf numFmtId="0" fontId="8" fillId="0" borderId="10" xfId="58" applyNumberFormat="1" applyFont="1" applyFill="1" applyBorder="1" applyAlignment="1" applyProtection="1">
      <alignment horizontal="center" vertical="top"/>
      <protection/>
    </xf>
    <xf numFmtId="0" fontId="8" fillId="0" borderId="17" xfId="58" applyNumberFormat="1" applyFont="1" applyFill="1" applyBorder="1" applyAlignment="1" applyProtection="1">
      <alignment horizontal="center" vertical="top"/>
      <protection/>
    </xf>
    <xf numFmtId="175" fontId="8" fillId="0" borderId="18" xfId="58" applyNumberFormat="1" applyFill="1" applyBorder="1" applyAlignment="1" applyProtection="1">
      <alignment horizontal="center" vertical="center"/>
      <protection/>
    </xf>
    <xf numFmtId="0" fontId="8" fillId="0" borderId="19" xfId="58" applyNumberFormat="1" applyFill="1" applyBorder="1" applyAlignment="1" applyProtection="1">
      <alignment horizontal="center" vertical="center"/>
      <protection/>
    </xf>
    <xf numFmtId="9" fontId="8" fillId="0" borderId="19" xfId="58" applyNumberFormat="1" applyFont="1" applyFill="1" applyBorder="1" applyAlignment="1" applyProtection="1">
      <alignment horizontal="center" vertical="center"/>
      <protection/>
    </xf>
    <xf numFmtId="168" fontId="8" fillId="0" borderId="19" xfId="58" applyNumberFormat="1" applyFill="1" applyBorder="1" applyAlignment="1" applyProtection="1">
      <alignment horizontal="center" vertical="center"/>
      <protection/>
    </xf>
    <xf numFmtId="0" fontId="8" fillId="0" borderId="0" xfId="58" applyNumberFormat="1" applyFill="1" applyBorder="1" applyAlignment="1" applyProtection="1">
      <alignment horizontal="center" vertical="top"/>
      <protection/>
    </xf>
    <xf numFmtId="168" fontId="8" fillId="0" borderId="14" xfId="58" applyNumberFormat="1" applyFont="1" applyFill="1" applyBorder="1" applyAlignment="1" applyProtection="1">
      <alignment horizontal="right" vertical="top"/>
      <protection/>
    </xf>
    <xf numFmtId="175" fontId="8" fillId="0" borderId="20" xfId="58" applyNumberFormat="1" applyFont="1" applyFill="1" applyBorder="1" applyAlignment="1" applyProtection="1">
      <alignment horizontal="right" vertical="top"/>
      <protection/>
    </xf>
    <xf numFmtId="3" fontId="8" fillId="0" borderId="17" xfId="58" applyNumberFormat="1" applyFont="1" applyFill="1" applyBorder="1" applyAlignment="1" applyProtection="1">
      <alignment horizontal="center" vertical="top"/>
      <protection/>
    </xf>
    <xf numFmtId="175" fontId="11" fillId="0" borderId="12" xfId="58" applyNumberFormat="1" applyFont="1" applyFill="1" applyBorder="1" applyAlignment="1" applyProtection="1">
      <alignment horizontal="right" vertical="top"/>
      <protection/>
    </xf>
    <xf numFmtId="0" fontId="8" fillId="0" borderId="21" xfId="58" applyNumberFormat="1" applyFill="1" applyBorder="1" applyAlignment="1" applyProtection="1">
      <alignment vertical="top"/>
      <protection/>
    </xf>
    <xf numFmtId="0" fontId="8" fillId="0" borderId="21" xfId="58" applyNumberFormat="1" applyFont="1" applyFill="1" applyBorder="1" applyAlignment="1" applyProtection="1">
      <alignment horizontal="center" vertical="top"/>
      <protection/>
    </xf>
    <xf numFmtId="3" fontId="8" fillId="0" borderId="21" xfId="58" applyNumberFormat="1" applyFont="1" applyFill="1" applyBorder="1" applyAlignment="1" applyProtection="1">
      <alignment horizontal="center" vertical="top"/>
      <protection/>
    </xf>
    <xf numFmtId="168" fontId="8" fillId="0" borderId="21" xfId="58" applyNumberFormat="1" applyFont="1" applyFill="1" applyBorder="1" applyAlignment="1" applyProtection="1">
      <alignment horizontal="right" vertical="top"/>
      <protection/>
    </xf>
    <xf numFmtId="9" fontId="8" fillId="0" borderId="21" xfId="58" applyNumberFormat="1" applyFont="1" applyFill="1" applyBorder="1" applyAlignment="1" applyProtection="1">
      <alignment horizontal="center" vertical="top"/>
      <protection/>
    </xf>
    <xf numFmtId="0" fontId="8" fillId="0" borderId="21" xfId="58" applyNumberFormat="1" applyFont="1" applyFill="1" applyBorder="1" applyAlignment="1" applyProtection="1">
      <alignment horizontal="center" vertical="top"/>
      <protection/>
    </xf>
    <xf numFmtId="175" fontId="8" fillId="0" borderId="22" xfId="58" applyNumberFormat="1" applyFont="1" applyFill="1" applyBorder="1" applyAlignment="1" applyProtection="1">
      <alignment horizontal="right" vertical="top"/>
      <protection/>
    </xf>
    <xf numFmtId="175" fontId="8" fillId="0" borderId="12" xfId="58" applyNumberFormat="1" applyFont="1" applyFill="1" applyBorder="1" applyAlignment="1" applyProtection="1">
      <alignment horizontal="right" vertical="top"/>
      <protection/>
    </xf>
    <xf numFmtId="0" fontId="8" fillId="0" borderId="21" xfId="58" applyNumberFormat="1" applyFill="1" applyBorder="1" applyAlignment="1" applyProtection="1">
      <alignment horizontal="center" vertical="top"/>
      <protection/>
    </xf>
    <xf numFmtId="176" fontId="8" fillId="0" borderId="21" xfId="58" applyNumberFormat="1" applyFill="1" applyBorder="1" applyAlignment="1" applyProtection="1">
      <alignment horizontal="right" vertical="top"/>
      <protection/>
    </xf>
    <xf numFmtId="175" fontId="11" fillId="0" borderId="22" xfId="58" applyNumberFormat="1" applyFont="1" applyFill="1" applyBorder="1" applyAlignment="1" applyProtection="1">
      <alignment horizontal="right" vertical="top"/>
      <protection/>
    </xf>
    <xf numFmtId="176" fontId="8" fillId="0" borderId="13" xfId="58" applyNumberFormat="1" applyFont="1" applyFill="1" applyBorder="1" applyAlignment="1" applyProtection="1">
      <alignment horizontal="right" vertical="top"/>
      <protection/>
    </xf>
    <xf numFmtId="0" fontId="9" fillId="0" borderId="21" xfId="58" applyNumberFormat="1" applyFont="1" applyFill="1" applyBorder="1" applyAlignment="1" applyProtection="1">
      <alignment vertical="top"/>
      <protection/>
    </xf>
    <xf numFmtId="0" fontId="9" fillId="0" borderId="21" xfId="58" applyNumberFormat="1" applyFont="1" applyFill="1" applyBorder="1" applyAlignment="1" applyProtection="1">
      <alignment horizontal="center" vertical="top"/>
      <protection/>
    </xf>
    <xf numFmtId="3" fontId="9" fillId="0" borderId="21" xfId="58" applyNumberFormat="1" applyFont="1" applyFill="1" applyBorder="1" applyAlignment="1" applyProtection="1">
      <alignment horizontal="center" vertical="top"/>
      <protection/>
    </xf>
    <xf numFmtId="168" fontId="9" fillId="0" borderId="21" xfId="58" applyNumberFormat="1" applyFont="1" applyFill="1" applyBorder="1" applyAlignment="1" applyProtection="1">
      <alignment horizontal="right" vertical="top"/>
      <protection/>
    </xf>
    <xf numFmtId="9" fontId="9" fillId="0" borderId="21" xfId="58" applyNumberFormat="1" applyFont="1" applyFill="1" applyBorder="1" applyAlignment="1" applyProtection="1">
      <alignment horizontal="center" vertical="top"/>
      <protection/>
    </xf>
    <xf numFmtId="175" fontId="9" fillId="0" borderId="22" xfId="58" applyNumberFormat="1" applyFont="1" applyFill="1" applyBorder="1" applyAlignment="1" applyProtection="1">
      <alignment horizontal="right" vertical="top"/>
      <protection/>
    </xf>
    <xf numFmtId="0" fontId="9" fillId="0" borderId="10" xfId="58" applyNumberFormat="1" applyFont="1" applyFill="1" applyBorder="1" applyAlignment="1" applyProtection="1">
      <alignment vertical="top"/>
      <protection/>
    </xf>
    <xf numFmtId="0" fontId="9" fillId="0" borderId="10" xfId="58" applyNumberFormat="1" applyFont="1" applyFill="1" applyBorder="1" applyAlignment="1" applyProtection="1">
      <alignment horizontal="center" vertical="top"/>
      <protection/>
    </xf>
    <xf numFmtId="3" fontId="9" fillId="0" borderId="10" xfId="58" applyNumberFormat="1" applyFont="1" applyFill="1" applyBorder="1" applyAlignment="1" applyProtection="1">
      <alignment horizontal="center" vertical="top"/>
      <protection/>
    </xf>
    <xf numFmtId="168" fontId="9" fillId="0" borderId="10" xfId="58" applyNumberFormat="1" applyFont="1" applyFill="1" applyBorder="1" applyAlignment="1" applyProtection="1">
      <alignment horizontal="right" vertical="top"/>
      <protection/>
    </xf>
    <xf numFmtId="9" fontId="9" fillId="0" borderId="10" xfId="58" applyNumberFormat="1" applyFont="1" applyFill="1" applyBorder="1" applyAlignment="1" applyProtection="1">
      <alignment horizontal="center" vertical="top"/>
      <protection/>
    </xf>
    <xf numFmtId="175" fontId="9" fillId="0" borderId="10" xfId="58" applyNumberFormat="1" applyFont="1" applyFill="1" applyBorder="1" applyAlignment="1" applyProtection="1">
      <alignment horizontal="right" vertical="top"/>
      <protection/>
    </xf>
    <xf numFmtId="4" fontId="10" fillId="33" borderId="10" xfId="58" applyNumberFormat="1" applyFont="1" applyFill="1" applyBorder="1" applyAlignment="1" applyProtection="1">
      <alignment vertical="top"/>
      <protection/>
    </xf>
    <xf numFmtId="173" fontId="12" fillId="0" borderId="10" xfId="55" applyNumberFormat="1" applyFont="1" applyFill="1" applyBorder="1" applyAlignment="1" applyProtection="1">
      <alignment horizontal="center" vertical="center"/>
      <protection/>
    </xf>
    <xf numFmtId="0" fontId="13" fillId="0" borderId="17" xfId="55" applyNumberFormat="1" applyFont="1" applyFill="1" applyBorder="1" applyAlignment="1" applyProtection="1">
      <alignment horizontal="center" vertical="center"/>
      <protection/>
    </xf>
    <xf numFmtId="172" fontId="12" fillId="0" borderId="23" xfId="55" applyNumberFormat="1" applyFont="1" applyFill="1" applyBorder="1" applyAlignment="1" applyProtection="1">
      <alignment horizontal="center" vertical="center"/>
      <protection/>
    </xf>
    <xf numFmtId="0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6" fillId="0" borderId="25" xfId="55" applyNumberFormat="1" applyFont="1" applyFill="1" applyBorder="1" applyAlignment="1" applyProtection="1">
      <alignment horizontal="center" vertical="center"/>
      <protection/>
    </xf>
    <xf numFmtId="0" fontId="7" fillId="0" borderId="26" xfId="55" applyNumberFormat="1" applyFont="1" applyFill="1" applyBorder="1" applyAlignment="1" applyProtection="1">
      <alignment horizontal="center" vertical="center"/>
      <protection/>
    </xf>
    <xf numFmtId="173" fontId="12" fillId="0" borderId="16" xfId="55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173" fontId="12" fillId="0" borderId="13" xfId="55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0" xfId="53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55" applyNumberFormat="1" applyFont="1" applyFill="1" applyBorder="1" applyAlignment="1" applyProtection="1">
      <alignment horizontal="center" vertical="center"/>
      <protection/>
    </xf>
    <xf numFmtId="172" fontId="15" fillId="0" borderId="10" xfId="55" applyNumberFormat="1" applyFont="1" applyFill="1" applyBorder="1" applyAlignment="1" applyProtection="1">
      <alignment horizontal="center" vertical="center" wrapText="1"/>
      <protection/>
    </xf>
    <xf numFmtId="172" fontId="18" fillId="0" borderId="30" xfId="55" applyNumberFormat="1" applyFont="1" applyFill="1" applyBorder="1" applyAlignment="1" applyProtection="1">
      <alignment horizontal="center" vertical="center" wrapText="1"/>
      <protection/>
    </xf>
    <xf numFmtId="172" fontId="18" fillId="0" borderId="31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55" applyNumberFormat="1" applyFont="1" applyFill="1" applyBorder="1" applyAlignment="1" applyProtection="1">
      <alignment horizontal="center" vertical="center"/>
      <protection/>
    </xf>
    <xf numFmtId="3" fontId="15" fillId="34" borderId="10" xfId="55" applyNumberFormat="1" applyFont="1" applyFill="1" applyBorder="1" applyAlignment="1" applyProtection="1">
      <alignment horizontal="center" vertical="center"/>
      <protection/>
    </xf>
    <xf numFmtId="0" fontId="15" fillId="34" borderId="10" xfId="55" applyNumberFormat="1" applyFont="1" applyFill="1" applyBorder="1" applyAlignment="1" applyProtection="1">
      <alignment horizontal="left" vertical="center"/>
      <protection/>
    </xf>
    <xf numFmtId="172" fontId="15" fillId="34" borderId="10" xfId="55" applyNumberFormat="1" applyFont="1" applyFill="1" applyBorder="1" applyAlignment="1" applyProtection="1">
      <alignment horizontal="center" vertical="center"/>
      <protection/>
    </xf>
    <xf numFmtId="173" fontId="15" fillId="34" borderId="10" xfId="55" applyNumberFormat="1" applyFont="1" applyFill="1" applyBorder="1" applyAlignment="1" applyProtection="1">
      <alignment horizontal="center" vertical="center"/>
      <protection/>
    </xf>
    <xf numFmtId="172" fontId="16" fillId="34" borderId="30" xfId="55" applyNumberFormat="1" applyFont="1" applyFill="1" applyBorder="1" applyAlignment="1" applyProtection="1">
      <alignment horizontal="center" vertical="center"/>
      <protection/>
    </xf>
    <xf numFmtId="172" fontId="16" fillId="34" borderId="31" xfId="55" applyNumberFormat="1" applyFont="1" applyFill="1" applyBorder="1" applyAlignment="1" applyProtection="1">
      <alignment horizontal="center" vertical="center"/>
      <protection/>
    </xf>
    <xf numFmtId="173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horizontal="left" vertical="center"/>
      <protection/>
    </xf>
    <xf numFmtId="3" fontId="15" fillId="35" borderId="10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horizontal="left" vertical="center" wrapText="1"/>
      <protection/>
    </xf>
    <xf numFmtId="172" fontId="15" fillId="35" borderId="10" xfId="55" applyNumberFormat="1" applyFont="1" applyFill="1" applyBorder="1" applyAlignment="1" applyProtection="1">
      <alignment horizontal="center" vertical="center"/>
      <protection/>
    </xf>
    <xf numFmtId="173" fontId="15" fillId="35" borderId="10" xfId="55" applyNumberFormat="1" applyFont="1" applyFill="1" applyBorder="1" applyAlignment="1" applyProtection="1">
      <alignment horizontal="center" vertical="center"/>
      <protection/>
    </xf>
    <xf numFmtId="172" fontId="16" fillId="35" borderId="32" xfId="55" applyNumberFormat="1" applyFont="1" applyFill="1" applyBorder="1" applyAlignment="1" applyProtection="1">
      <alignment horizontal="center" vertical="center"/>
      <protection/>
    </xf>
    <xf numFmtId="172" fontId="16" fillId="35" borderId="33" xfId="55" applyNumberFormat="1" applyFont="1" applyFill="1" applyBorder="1" applyAlignment="1" applyProtection="1">
      <alignment horizontal="center" vertical="center"/>
      <protection/>
    </xf>
    <xf numFmtId="173" fontId="15" fillId="35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55" applyNumberFormat="1" applyFont="1" applyFill="1" applyBorder="1" applyAlignment="1" applyProtection="1">
      <alignment horizontal="left" vertical="center"/>
      <protection/>
    </xf>
    <xf numFmtId="3" fontId="1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center" wrapText="1"/>
      <protection/>
    </xf>
    <xf numFmtId="172" fontId="14" fillId="0" borderId="10" xfId="55" applyNumberFormat="1" applyFont="1" applyFill="1" applyBorder="1" applyAlignment="1" applyProtection="1">
      <alignment horizontal="center" vertical="center"/>
      <protection/>
    </xf>
    <xf numFmtId="173" fontId="14" fillId="0" borderId="10" xfId="55" applyNumberFormat="1" applyFont="1" applyFill="1" applyBorder="1" applyAlignment="1" applyProtection="1">
      <alignment horizontal="center" vertical="center"/>
      <protection/>
    </xf>
    <xf numFmtId="172" fontId="14" fillId="0" borderId="34" xfId="55" applyNumberFormat="1" applyFont="1" applyFill="1" applyBorder="1" applyAlignment="1" applyProtection="1">
      <alignment horizontal="center" vertical="center"/>
      <protection/>
    </xf>
    <xf numFmtId="172" fontId="14" fillId="0" borderId="24" xfId="55" applyNumberFormat="1" applyFont="1" applyFill="1" applyBorder="1" applyAlignment="1" applyProtection="1">
      <alignment horizontal="center" vertical="center"/>
      <protection/>
    </xf>
    <xf numFmtId="173" fontId="14" fillId="0" borderId="10" xfId="0" applyNumberFormat="1" applyFont="1" applyFill="1" applyBorder="1" applyAlignment="1" applyProtection="1">
      <alignment horizontal="center" vertical="center"/>
      <protection/>
    </xf>
    <xf numFmtId="172" fontId="14" fillId="0" borderId="35" xfId="55" applyNumberFormat="1" applyFont="1" applyFill="1" applyBorder="1" applyAlignment="1" applyProtection="1">
      <alignment horizontal="center" vertical="center"/>
      <protection/>
    </xf>
    <xf numFmtId="172" fontId="14" fillId="0" borderId="36" xfId="55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173" fontId="15" fillId="0" borderId="10" xfId="0" applyNumberFormat="1" applyFont="1" applyFill="1" applyBorder="1" applyAlignment="1" applyProtection="1">
      <alignment horizontal="center" vertical="center"/>
      <protection/>
    </xf>
    <xf numFmtId="172" fontId="16" fillId="35" borderId="30" xfId="55" applyNumberFormat="1" applyFont="1" applyFill="1" applyBorder="1" applyAlignment="1" applyProtection="1">
      <alignment horizontal="center" vertical="center"/>
      <protection/>
    </xf>
    <xf numFmtId="172" fontId="16" fillId="35" borderId="37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center"/>
      <protection/>
    </xf>
    <xf numFmtId="173" fontId="14" fillId="35" borderId="10" xfId="0" applyNumberFormat="1" applyFont="1" applyFill="1" applyBorder="1" applyAlignment="1" applyProtection="1">
      <alignment horizontal="center" vertical="center"/>
      <protection/>
    </xf>
    <xf numFmtId="0" fontId="14" fillId="36" borderId="10" xfId="55" applyNumberFormat="1" applyFont="1" applyFill="1" applyBorder="1" applyAlignment="1" applyProtection="1">
      <alignment horizontal="left" vertical="center"/>
      <protection/>
    </xf>
    <xf numFmtId="0" fontId="14" fillId="36" borderId="10" xfId="55" applyNumberFormat="1" applyFont="1" applyFill="1" applyBorder="1" applyAlignment="1" applyProtection="1">
      <alignment horizontal="center" vertical="center"/>
      <protection/>
    </xf>
    <xf numFmtId="0" fontId="14" fillId="36" borderId="10" xfId="55" applyNumberFormat="1" applyFont="1" applyFill="1" applyBorder="1" applyAlignment="1" applyProtection="1">
      <alignment horizontal="left" vertical="center" wrapText="1"/>
      <protection/>
    </xf>
    <xf numFmtId="0" fontId="14" fillId="0" borderId="10" xfId="55" applyNumberFormat="1" applyFont="1" applyFill="1" applyBorder="1" applyAlignment="1" applyProtection="1">
      <alignment horizontal="center" vertical="center"/>
      <protection/>
    </xf>
    <xf numFmtId="172" fontId="15" fillId="37" borderId="10" xfId="55" applyNumberFormat="1" applyFont="1" applyFill="1" applyBorder="1" applyAlignment="1" applyProtection="1">
      <alignment horizontal="center" vertical="center"/>
      <protection/>
    </xf>
    <xf numFmtId="172" fontId="14" fillId="38" borderId="10" xfId="55" applyNumberFormat="1" applyFont="1" applyFill="1" applyBorder="1" applyAlignment="1" applyProtection="1">
      <alignment horizontal="center" vertical="center"/>
      <protection/>
    </xf>
    <xf numFmtId="172" fontId="15" fillId="35" borderId="38" xfId="55" applyNumberFormat="1" applyFont="1" applyFill="1" applyBorder="1" applyAlignment="1" applyProtection="1">
      <alignment horizontal="center" vertical="center"/>
      <protection/>
    </xf>
    <xf numFmtId="172" fontId="15" fillId="35" borderId="39" xfId="55" applyNumberFormat="1" applyFont="1" applyFill="1" applyBorder="1" applyAlignment="1" applyProtection="1">
      <alignment horizontal="center" vertical="center"/>
      <protection/>
    </xf>
    <xf numFmtId="0" fontId="15" fillId="37" borderId="10" xfId="55" applyNumberFormat="1" applyFont="1" applyFill="1" applyBorder="1" applyAlignment="1" applyProtection="1">
      <alignment horizontal="left" vertical="center"/>
      <protection/>
    </xf>
    <xf numFmtId="3" fontId="15" fillId="37" borderId="10" xfId="55" applyNumberFormat="1" applyFont="1" applyFill="1" applyBorder="1" applyAlignment="1" applyProtection="1">
      <alignment horizontal="center" vertical="center"/>
      <protection/>
    </xf>
    <xf numFmtId="0" fontId="15" fillId="37" borderId="10" xfId="55" applyNumberFormat="1" applyFont="1" applyFill="1" applyBorder="1" applyAlignment="1" applyProtection="1">
      <alignment horizontal="left" vertical="center" wrapText="1"/>
      <protection/>
    </xf>
    <xf numFmtId="49" fontId="14" fillId="38" borderId="10" xfId="55" applyNumberFormat="1" applyFont="1" applyFill="1" applyBorder="1" applyAlignment="1" applyProtection="1">
      <alignment horizontal="left" vertical="center"/>
      <protection/>
    </xf>
    <xf numFmtId="0" fontId="14" fillId="38" borderId="10" xfId="55" applyNumberFormat="1" applyFont="1" applyFill="1" applyBorder="1" applyAlignment="1" applyProtection="1">
      <alignment horizontal="center" vertical="center"/>
      <protection/>
    </xf>
    <xf numFmtId="0" fontId="14" fillId="38" borderId="10" xfId="55" applyNumberFormat="1" applyFont="1" applyFill="1" applyBorder="1" applyAlignment="1" applyProtection="1">
      <alignment horizontal="left" vertical="center" wrapText="1"/>
      <protection/>
    </xf>
    <xf numFmtId="0" fontId="15" fillId="37" borderId="10" xfId="55" applyNumberFormat="1" applyFont="1" applyFill="1" applyBorder="1" applyAlignment="1" applyProtection="1">
      <alignment horizontal="center" vertical="center"/>
      <protection/>
    </xf>
    <xf numFmtId="0" fontId="15" fillId="37" borderId="10" xfId="55" applyNumberFormat="1" applyFont="1" applyFill="1" applyBorder="1" applyAlignment="1" applyProtection="1">
      <alignment vertical="center" wrapText="1"/>
      <protection/>
    </xf>
    <xf numFmtId="173" fontId="15" fillId="37" borderId="10" xfId="55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vertical="center" wrapText="1"/>
      <protection/>
    </xf>
    <xf numFmtId="0" fontId="14" fillId="0" borderId="10" xfId="55" applyNumberFormat="1" applyFont="1" applyFill="1" applyBorder="1" applyAlignment="1" applyProtection="1">
      <alignment vertical="top" wrapText="1"/>
      <protection/>
    </xf>
    <xf numFmtId="172" fontId="15" fillId="0" borderId="10" xfId="55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172" fontId="14" fillId="35" borderId="10" xfId="55" applyNumberFormat="1" applyFont="1" applyFill="1" applyBorder="1" applyAlignment="1" applyProtection="1">
      <alignment horizontal="center" vertical="center"/>
      <protection/>
    </xf>
    <xf numFmtId="172" fontId="15" fillId="35" borderId="30" xfId="55" applyNumberFormat="1" applyFont="1" applyFill="1" applyBorder="1" applyAlignment="1" applyProtection="1">
      <alignment horizontal="center" vertical="center"/>
      <protection/>
    </xf>
    <xf numFmtId="172" fontId="15" fillId="35" borderId="37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top" wrapText="1"/>
      <protection/>
    </xf>
    <xf numFmtId="172" fontId="14" fillId="0" borderId="40" xfId="55" applyNumberFormat="1" applyFont="1" applyFill="1" applyBorder="1" applyAlignment="1" applyProtection="1">
      <alignment horizontal="center" vertical="center"/>
      <protection/>
    </xf>
    <xf numFmtId="172" fontId="14" fillId="0" borderId="38" xfId="55" applyNumberFormat="1" applyFont="1" applyFill="1" applyBorder="1" applyAlignment="1" applyProtection="1">
      <alignment horizontal="center" vertical="center"/>
      <protection/>
    </xf>
    <xf numFmtId="172" fontId="14" fillId="0" borderId="39" xfId="55" applyNumberFormat="1" applyFont="1" applyFill="1" applyBorder="1" applyAlignment="1" applyProtection="1">
      <alignment horizontal="center" vertical="center"/>
      <protection/>
    </xf>
    <xf numFmtId="172" fontId="14" fillId="34" borderId="10" xfId="55" applyNumberFormat="1" applyFont="1" applyFill="1" applyBorder="1" applyAlignment="1" applyProtection="1">
      <alignment horizontal="center" vertical="center"/>
      <protection/>
    </xf>
    <xf numFmtId="172" fontId="15" fillId="34" borderId="30" xfId="55" applyNumberFormat="1" applyFont="1" applyFill="1" applyBorder="1" applyAlignment="1" applyProtection="1">
      <alignment horizontal="center" vertical="center"/>
      <protection/>
    </xf>
    <xf numFmtId="172" fontId="15" fillId="34" borderId="37" xfId="55" applyNumberFormat="1" applyFont="1" applyFill="1" applyBorder="1" applyAlignment="1" applyProtection="1">
      <alignment horizontal="center" vertical="center"/>
      <protection/>
    </xf>
    <xf numFmtId="172" fontId="15" fillId="35" borderId="32" xfId="55" applyNumberFormat="1" applyFont="1" applyFill="1" applyBorder="1" applyAlignment="1" applyProtection="1">
      <alignment horizontal="center" vertical="center"/>
      <protection/>
    </xf>
    <xf numFmtId="172" fontId="15" fillId="35" borderId="41" xfId="55" applyNumberFormat="1" applyFont="1" applyFill="1" applyBorder="1" applyAlignment="1" applyProtection="1">
      <alignment horizontal="center" vertical="center"/>
      <protection/>
    </xf>
    <xf numFmtId="172" fontId="15" fillId="0" borderId="40" xfId="55" applyNumberFormat="1" applyFont="1" applyFill="1" applyBorder="1" applyAlignment="1" applyProtection="1">
      <alignment horizontal="center" vertical="center"/>
      <protection/>
    </xf>
    <xf numFmtId="172" fontId="15" fillId="0" borderId="24" xfId="55" applyNumberFormat="1" applyFont="1" applyFill="1" applyBorder="1" applyAlignment="1" applyProtection="1">
      <alignment horizontal="center" vertical="center"/>
      <protection/>
    </xf>
    <xf numFmtId="172" fontId="15" fillId="0" borderId="38" xfId="55" applyNumberFormat="1" applyFont="1" applyFill="1" applyBorder="1" applyAlignment="1" applyProtection="1">
      <alignment horizontal="center" vertical="center"/>
      <protection/>
    </xf>
    <xf numFmtId="172" fontId="15" fillId="0" borderId="39" xfId="55" applyNumberFormat="1" applyFont="1" applyFill="1" applyBorder="1" applyAlignment="1" applyProtection="1">
      <alignment horizontal="center" vertical="center"/>
      <protection/>
    </xf>
    <xf numFmtId="172" fontId="14" fillId="37" borderId="10" xfId="55" applyNumberFormat="1" applyFont="1" applyFill="1" applyBorder="1" applyAlignment="1" applyProtection="1">
      <alignment horizontal="center" vertical="center"/>
      <protection/>
    </xf>
    <xf numFmtId="172" fontId="14" fillId="0" borderId="42" xfId="55" applyNumberFormat="1" applyFont="1" applyFill="1" applyBorder="1" applyAlignment="1" applyProtection="1">
      <alignment horizontal="center" vertical="center"/>
      <protection/>
    </xf>
    <xf numFmtId="172" fontId="14" fillId="0" borderId="43" xfId="55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Fill="1" applyBorder="1" applyAlignment="1" applyProtection="1">
      <alignment horizontal="left" vertical="center"/>
      <protection/>
    </xf>
    <xf numFmtId="3" fontId="15" fillId="0" borderId="10" xfId="55" applyNumberFormat="1" applyFont="1" applyFill="1" applyBorder="1" applyAlignment="1" applyProtection="1">
      <alignment horizontal="center" vertical="center"/>
      <protection/>
    </xf>
    <xf numFmtId="0" fontId="15" fillId="0" borderId="10" xfId="55" applyNumberFormat="1" applyFont="1" applyFill="1" applyBorder="1" applyAlignment="1" applyProtection="1">
      <alignment horizontal="left" vertical="center" wrapText="1"/>
      <protection/>
    </xf>
    <xf numFmtId="173" fontId="14" fillId="38" borderId="10" xfId="55" applyNumberFormat="1" applyFont="1" applyFill="1" applyBorder="1" applyAlignment="1" applyProtection="1">
      <alignment horizontal="center" vertical="center"/>
      <protection/>
    </xf>
    <xf numFmtId="172" fontId="14" fillId="38" borderId="40" xfId="55" applyNumberFormat="1" applyFont="1" applyFill="1" applyBorder="1" applyAlignment="1" applyProtection="1">
      <alignment horizontal="center" vertical="center"/>
      <protection/>
    </xf>
    <xf numFmtId="172" fontId="14" fillId="38" borderId="24" xfId="55" applyNumberFormat="1" applyFont="1" applyFill="1" applyBorder="1" applyAlignment="1" applyProtection="1">
      <alignment horizontal="center" vertical="center"/>
      <protection/>
    </xf>
    <xf numFmtId="172" fontId="15" fillId="38" borderId="44" xfId="55" applyNumberFormat="1" applyFont="1" applyFill="1" applyBorder="1" applyAlignment="1" applyProtection="1">
      <alignment horizontal="center" vertical="center"/>
      <protection/>
    </xf>
    <xf numFmtId="172" fontId="15" fillId="38" borderId="31" xfId="55" applyNumberFormat="1" applyFont="1" applyFill="1" applyBorder="1" applyAlignment="1" applyProtection="1">
      <alignment horizontal="center" vertical="center"/>
      <protection/>
    </xf>
    <xf numFmtId="172" fontId="14" fillId="38" borderId="38" xfId="55" applyNumberFormat="1" applyFont="1" applyFill="1" applyBorder="1" applyAlignment="1" applyProtection="1">
      <alignment horizontal="center" vertical="center"/>
      <protection/>
    </xf>
    <xf numFmtId="172" fontId="14" fillId="38" borderId="39" xfId="55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173" fontId="12" fillId="0" borderId="40" xfId="55" applyNumberFormat="1" applyFont="1" applyFill="1" applyBorder="1" applyAlignment="1" applyProtection="1">
      <alignment horizontal="center" vertical="center"/>
      <protection/>
    </xf>
    <xf numFmtId="173" fontId="12" fillId="0" borderId="24" xfId="55" applyNumberFormat="1" applyFont="1" applyFill="1" applyBorder="1" applyAlignment="1" applyProtection="1">
      <alignment horizontal="center" vertical="center"/>
      <protection/>
    </xf>
    <xf numFmtId="172" fontId="15" fillId="0" borderId="30" xfId="55" applyNumberFormat="1" applyFont="1" applyFill="1" applyBorder="1" applyAlignment="1" applyProtection="1">
      <alignment horizontal="center" vertical="center"/>
      <protection/>
    </xf>
    <xf numFmtId="172" fontId="15" fillId="0" borderId="37" xfId="55" applyNumberFormat="1" applyFont="1" applyFill="1" applyBorder="1" applyAlignment="1" applyProtection="1">
      <alignment horizontal="center" vertical="center"/>
      <protection/>
    </xf>
    <xf numFmtId="173" fontId="15" fillId="0" borderId="10" xfId="55" applyNumberFormat="1" applyFont="1" applyFill="1" applyBorder="1" applyAlignment="1" applyProtection="1">
      <alignment horizontal="center" vertical="center"/>
      <protection/>
    </xf>
    <xf numFmtId="172" fontId="15" fillId="38" borderId="10" xfId="55" applyNumberFormat="1" applyFont="1" applyFill="1" applyBorder="1" applyAlignment="1" applyProtection="1">
      <alignment horizontal="center" vertical="center"/>
      <protection/>
    </xf>
    <xf numFmtId="172" fontId="15" fillId="38" borderId="40" xfId="55" applyNumberFormat="1" applyFont="1" applyFill="1" applyBorder="1" applyAlignment="1" applyProtection="1">
      <alignment horizontal="center" vertical="center"/>
      <protection/>
    </xf>
    <xf numFmtId="172" fontId="15" fillId="38" borderId="24" xfId="55" applyNumberFormat="1" applyFont="1" applyFill="1" applyBorder="1" applyAlignment="1" applyProtection="1">
      <alignment horizontal="center" vertical="center"/>
      <protection/>
    </xf>
    <xf numFmtId="172" fontId="14" fillId="0" borderId="45" xfId="55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5" fillId="0" borderId="10" xfId="55" applyNumberFormat="1" applyFont="1" applyFill="1" applyBorder="1" applyAlignment="1" applyProtection="1">
      <alignment horizontal="center" vertical="top"/>
      <protection/>
    </xf>
    <xf numFmtId="0" fontId="15" fillId="0" borderId="10" xfId="55" applyNumberFormat="1" applyFont="1" applyFill="1" applyBorder="1" applyAlignment="1" applyProtection="1">
      <alignment horizontal="left" vertical="top"/>
      <protection/>
    </xf>
    <xf numFmtId="173" fontId="12" fillId="0" borderId="30" xfId="55" applyNumberFormat="1" applyFont="1" applyFill="1" applyBorder="1" applyAlignment="1" applyProtection="1">
      <alignment horizontal="center" vertical="center"/>
      <protection/>
    </xf>
    <xf numFmtId="173" fontId="12" fillId="0" borderId="31" xfId="55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 locked="0"/>
    </xf>
    <xf numFmtId="172" fontId="14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 hidden="1"/>
    </xf>
    <xf numFmtId="0" fontId="14" fillId="0" borderId="0" xfId="0" applyNumberFormat="1" applyFont="1" applyFill="1" applyBorder="1" applyAlignment="1" applyProtection="1">
      <alignment horizontal="left" vertical="top"/>
      <protection hidden="1"/>
    </xf>
    <xf numFmtId="0" fontId="19" fillId="0" borderId="0" xfId="0" applyNumberFormat="1" applyFont="1" applyFill="1" applyBorder="1" applyAlignment="1" applyProtection="1">
      <alignment vertical="top"/>
      <protection hidden="1"/>
    </xf>
    <xf numFmtId="172" fontId="14" fillId="0" borderId="0" xfId="0" applyNumberFormat="1" applyFont="1" applyFill="1" applyBorder="1" applyAlignment="1" applyProtection="1">
      <alignment vertical="top"/>
      <protection hidden="1"/>
    </xf>
    <xf numFmtId="0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1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45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39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0" applyNumberFormat="1" applyFont="1" applyFill="1" applyBorder="1" applyAlignment="1" applyProtection="1">
      <alignment horizontal="center" vertical="center"/>
      <protection hidden="1"/>
    </xf>
    <xf numFmtId="172" fontId="21" fillId="0" borderId="10" xfId="0" applyNumberFormat="1" applyFont="1" applyFill="1" applyBorder="1" applyAlignment="1" applyProtection="1">
      <alignment horizontal="center" vertical="center"/>
      <protection hidden="1"/>
    </xf>
    <xf numFmtId="173" fontId="21" fillId="0" borderId="15" xfId="0" applyNumberFormat="1" applyFont="1" applyFill="1" applyBorder="1" applyAlignment="1" applyProtection="1">
      <alignment horizontal="center" vertical="center"/>
      <protection hidden="1"/>
    </xf>
    <xf numFmtId="172" fontId="21" fillId="0" borderId="47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7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4" xfId="0" applyNumberFormat="1" applyFont="1" applyFill="1" applyBorder="1" applyAlignment="1" applyProtection="1">
      <alignment vertical="center"/>
      <protection/>
    </xf>
    <xf numFmtId="173" fontId="21" fillId="0" borderId="16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2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72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172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173" fontId="4" fillId="0" borderId="0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9" fontId="20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20" fillId="0" borderId="15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/>
      <protection hidden="1"/>
    </xf>
    <xf numFmtId="2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10" xfId="0" applyNumberFormat="1" applyFont="1" applyFill="1" applyBorder="1" applyAlignment="1" applyProtection="1">
      <alignment horizontal="center" vertical="center"/>
      <protection hidden="1"/>
    </xf>
    <xf numFmtId="172" fontId="20" fillId="0" borderId="15" xfId="0" applyNumberFormat="1" applyFont="1" applyFill="1" applyBorder="1" applyAlignment="1" applyProtection="1">
      <alignment horizontal="center" vertical="center"/>
      <protection hidden="1"/>
    </xf>
    <xf numFmtId="173" fontId="20" fillId="0" borderId="15" xfId="0" applyNumberFormat="1" applyFont="1" applyFill="1" applyBorder="1" applyAlignment="1" applyProtection="1">
      <alignment horizontal="center" vertical="center"/>
      <protection hidden="1"/>
    </xf>
    <xf numFmtId="2" fontId="20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34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>
      <alignment horizontal="center" vertical="center" wrapText="1"/>
    </xf>
    <xf numFmtId="173" fontId="20" fillId="0" borderId="15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18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>
      <alignment horizontal="left" vertical="center" wrapText="1"/>
    </xf>
    <xf numFmtId="172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17" xfId="0" applyNumberFormat="1" applyFont="1" applyFill="1" applyBorder="1" applyAlignment="1" applyProtection="1">
      <alignment horizontal="justify" vertical="center" wrapText="1"/>
      <protection hidden="1"/>
    </xf>
    <xf numFmtId="0" fontId="20" fillId="0" borderId="19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center" vertical="center" wrapText="1"/>
      <protection hidden="1"/>
    </xf>
    <xf numFmtId="12" fontId="20" fillId="0" borderId="19" xfId="0" applyNumberFormat="1" applyFont="1" applyFill="1" applyBorder="1" applyAlignment="1" applyProtection="1">
      <alignment horizontal="justify" vertical="center" wrapText="1"/>
      <protection hidden="1"/>
    </xf>
    <xf numFmtId="49" fontId="20" fillId="0" borderId="10" xfId="0" applyNumberFormat="1" applyFont="1" applyFill="1" applyBorder="1" applyAlignment="1" applyProtection="1">
      <alignment horizontal="justify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19" xfId="0" applyNumberFormat="1" applyFont="1" applyFill="1" applyBorder="1" applyAlignment="1" applyProtection="1">
      <alignment horizontal="left" vertical="center"/>
      <protection hidden="1"/>
    </xf>
    <xf numFmtId="49" fontId="18" fillId="0" borderId="19" xfId="0" applyNumberFormat="1" applyFont="1" applyFill="1" applyBorder="1" applyAlignment="1" applyProtection="1">
      <alignment horizontal="center" vertical="center"/>
      <protection hidden="1"/>
    </xf>
    <xf numFmtId="172" fontId="18" fillId="0" borderId="18" xfId="0" applyNumberFormat="1" applyFont="1" applyFill="1" applyBorder="1" applyAlignment="1" applyProtection="1">
      <alignment horizontal="center" vertical="center"/>
      <protection hidden="1"/>
    </xf>
    <xf numFmtId="173" fontId="18" fillId="0" borderId="1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52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22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54" applyNumberFormat="1" applyFont="1" applyFill="1" applyBorder="1" applyAlignment="1" applyProtection="1">
      <alignment horizontal="justify" vertical="center" wrapText="1"/>
      <protection/>
    </xf>
    <xf numFmtId="49" fontId="21" fillId="0" borderId="14" xfId="54" applyNumberFormat="1" applyFont="1" applyFill="1" applyBorder="1" applyAlignment="1" applyProtection="1">
      <alignment horizontal="center" vertical="center"/>
      <protection/>
    </xf>
    <xf numFmtId="172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54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54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55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7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49" fontId="21" fillId="0" borderId="10" xfId="54" applyNumberFormat="1" applyFont="1" applyFill="1" applyBorder="1" applyAlignment="1" applyProtection="1">
      <alignment horizontal="justify" vertical="center"/>
      <protection/>
    </xf>
    <xf numFmtId="173" fontId="21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54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>
      <alignment horizontal="left" vertical="center" wrapText="1"/>
    </xf>
    <xf numFmtId="172" fontId="21" fillId="0" borderId="49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56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46" xfId="54" applyNumberFormat="1" applyFont="1" applyFill="1" applyBorder="1" applyAlignment="1" applyProtection="1">
      <alignment horizontal="justify" vertical="center" wrapText="1"/>
      <protection/>
    </xf>
    <xf numFmtId="49" fontId="21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8" xfId="0" applyFont="1" applyFill="1" applyBorder="1" applyAlignment="1">
      <alignment horizontal="left" vertical="center" wrapText="1"/>
    </xf>
    <xf numFmtId="12" fontId="21" fillId="0" borderId="59" xfId="0" applyNumberFormat="1" applyFont="1" applyFill="1" applyBorder="1" applyAlignment="1" applyProtection="1">
      <alignment horizontal="justify" vertical="center" wrapText="1"/>
      <protection hidden="1"/>
    </xf>
    <xf numFmtId="172" fontId="20" fillId="0" borderId="41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49" fontId="20" fillId="0" borderId="59" xfId="0" applyNumberFormat="1" applyFont="1" applyFill="1" applyBorder="1" applyAlignment="1" applyProtection="1">
      <alignment horizontal="left" vertical="center" wrapText="1"/>
      <protection hidden="1"/>
    </xf>
    <xf numFmtId="172" fontId="20" fillId="0" borderId="49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56" xfId="0" applyNumberFormat="1" applyFont="1" applyFill="1" applyBorder="1" applyAlignment="1" applyProtection="1">
      <alignment horizontal="center" vertical="center" wrapText="1"/>
      <protection hidden="1"/>
    </xf>
    <xf numFmtId="173" fontId="20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6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46" xfId="54" applyNumberFormat="1" applyFont="1" applyFill="1" applyBorder="1" applyAlignment="1" applyProtection="1">
      <alignment horizontal="justify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46" xfId="54" applyNumberFormat="1" applyFont="1" applyFill="1" applyBorder="1" applyAlignment="1" applyProtection="1">
      <alignment horizontal="justify" vertical="top"/>
      <protection/>
    </xf>
    <xf numFmtId="0" fontId="21" fillId="0" borderId="46" xfId="0" applyFont="1" applyFill="1" applyBorder="1" applyAlignment="1">
      <alignment horizontal="left" vertical="center" wrapText="1"/>
    </xf>
    <xf numFmtId="49" fontId="21" fillId="0" borderId="46" xfId="0" applyNumberFormat="1" applyFont="1" applyFill="1" applyBorder="1" applyAlignment="1" applyProtection="1">
      <alignment horizontal="left" vertical="top" wrapText="1"/>
      <protection hidden="1"/>
    </xf>
    <xf numFmtId="49" fontId="21" fillId="0" borderId="46" xfId="0" applyNumberFormat="1" applyFont="1" applyFill="1" applyBorder="1" applyAlignment="1" applyProtection="1">
      <alignment horizontal="justify" vertical="center" wrapText="1"/>
      <protection hidden="1"/>
    </xf>
    <xf numFmtId="49" fontId="20" fillId="0" borderId="51" xfId="0" applyNumberFormat="1" applyFont="1" applyFill="1" applyBorder="1" applyAlignment="1" applyProtection="1">
      <alignment horizontal="justify" vertical="center" wrapText="1"/>
      <protection hidden="1"/>
    </xf>
    <xf numFmtId="172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0" fillId="38" borderId="0" xfId="0" applyNumberFormat="1" applyFont="1" applyFill="1" applyBorder="1" applyAlignment="1" applyProtection="1">
      <alignment vertical="top"/>
      <protection/>
    </xf>
    <xf numFmtId="173" fontId="21" fillId="38" borderId="38" xfId="0" applyNumberFormat="1" applyFont="1" applyFill="1" applyBorder="1" applyAlignment="1" applyProtection="1">
      <alignment horizontal="center" vertical="center"/>
      <protection hidden="1"/>
    </xf>
    <xf numFmtId="173" fontId="21" fillId="38" borderId="3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59" xfId="0" applyFont="1" applyFill="1" applyBorder="1" applyAlignment="1">
      <alignment horizontal="left" vertical="center" wrapText="1"/>
    </xf>
    <xf numFmtId="0" fontId="20" fillId="0" borderId="60" xfId="0" applyNumberFormat="1" applyFont="1" applyFill="1" applyBorder="1" applyAlignment="1" applyProtection="1">
      <alignment horizontal="center" vertical="center"/>
      <protection/>
    </xf>
    <xf numFmtId="172" fontId="20" fillId="0" borderId="60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 applyProtection="1">
      <alignment vertical="center"/>
      <protection/>
    </xf>
    <xf numFmtId="49" fontId="20" fillId="0" borderId="46" xfId="0" applyNumberFormat="1" applyFont="1" applyFill="1" applyBorder="1" applyAlignment="1" applyProtection="1">
      <alignment horizontal="justify" vertical="center" wrapText="1"/>
      <protection hidden="1"/>
    </xf>
    <xf numFmtId="49" fontId="20" fillId="0" borderId="57" xfId="0" applyNumberFormat="1" applyFont="1" applyFill="1" applyBorder="1" applyAlignment="1" applyProtection="1">
      <alignment horizontal="justify" vertical="center" wrapText="1"/>
      <protection hidden="1"/>
    </xf>
    <xf numFmtId="0" fontId="21" fillId="0" borderId="48" xfId="0" applyNumberFormat="1" applyFont="1" applyFill="1" applyBorder="1" applyAlignment="1" applyProtection="1">
      <alignment horizontal="center" vertical="center"/>
      <protection/>
    </xf>
    <xf numFmtId="172" fontId="2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vertical="center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Fill="1" applyBorder="1" applyAlignment="1">
      <alignment horizontal="left" vertical="center" wrapText="1"/>
    </xf>
    <xf numFmtId="172" fontId="2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61" xfId="0" applyFont="1" applyFill="1" applyBorder="1" applyAlignment="1">
      <alignment horizontal="left" vertical="center" wrapText="1"/>
    </xf>
    <xf numFmtId="49" fontId="20" fillId="0" borderId="62" xfId="0" applyNumberFormat="1" applyFont="1" applyFill="1" applyBorder="1" applyAlignment="1" applyProtection="1">
      <alignment horizontal="center" vertical="center" wrapText="1"/>
      <protection hidden="1"/>
    </xf>
    <xf numFmtId="172" fontId="2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172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vertical="center"/>
      <protection/>
    </xf>
    <xf numFmtId="0" fontId="21" fillId="0" borderId="44" xfId="0" applyNumberFormat="1" applyFont="1" applyFill="1" applyBorder="1" applyAlignment="1" applyProtection="1">
      <alignment horizontal="center" vertical="center"/>
      <protection/>
    </xf>
    <xf numFmtId="172" fontId="21" fillId="0" borderId="44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vertical="center"/>
      <protection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172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49" xfId="0" applyNumberFormat="1" applyFont="1" applyFill="1" applyBorder="1" applyAlignment="1" applyProtection="1">
      <alignment vertical="center"/>
      <protection/>
    </xf>
    <xf numFmtId="49" fontId="21" fillId="0" borderId="25" xfId="54" applyNumberFormat="1" applyFont="1" applyFill="1" applyBorder="1" applyAlignment="1" applyProtection="1">
      <alignment horizontal="justify" vertical="center" wrapText="1"/>
      <protection/>
    </xf>
    <xf numFmtId="49" fontId="21" fillId="0" borderId="17" xfId="54" applyNumberFormat="1" applyFont="1" applyFill="1" applyBorder="1" applyAlignment="1" applyProtection="1">
      <alignment horizontal="center" vertical="center"/>
      <protection/>
    </xf>
    <xf numFmtId="49" fontId="20" fillId="0" borderId="19" xfId="54" applyNumberFormat="1" applyFont="1" applyFill="1" applyBorder="1" applyAlignment="1" applyProtection="1">
      <alignment horizontal="center" vertical="center"/>
      <protection/>
    </xf>
    <xf numFmtId="49" fontId="21" fillId="0" borderId="19" xfId="54" applyNumberFormat="1" applyFont="1" applyFill="1" applyBorder="1" applyAlignment="1" applyProtection="1">
      <alignment horizontal="center" vertical="center"/>
      <protection/>
    </xf>
    <xf numFmtId="49" fontId="21" fillId="0" borderId="17" xfId="54" applyNumberFormat="1" applyFont="1" applyFill="1" applyBorder="1" applyAlignment="1" applyProtection="1">
      <alignment horizontal="justify" vertical="center" wrapText="1"/>
      <protection/>
    </xf>
    <xf numFmtId="49" fontId="20" fillId="0" borderId="61" xfId="54" applyNumberFormat="1" applyFont="1" applyFill="1" applyBorder="1" applyAlignment="1" applyProtection="1">
      <alignment horizontal="justify" vertical="center" wrapText="1"/>
      <protection/>
    </xf>
    <xf numFmtId="172" fontId="18" fillId="0" borderId="19" xfId="56" applyNumberFormat="1" applyFont="1" applyFill="1" applyBorder="1" applyAlignment="1" applyProtection="1">
      <alignment horizontal="center" vertical="center" wrapText="1"/>
      <protection/>
    </xf>
    <xf numFmtId="172" fontId="18" fillId="0" borderId="18" xfId="56" applyNumberFormat="1" applyFont="1" applyFill="1" applyBorder="1" applyAlignment="1" applyProtection="1">
      <alignment horizontal="center" vertical="center" wrapText="1"/>
      <protection/>
    </xf>
    <xf numFmtId="49" fontId="20" fillId="0" borderId="46" xfId="54" applyNumberFormat="1" applyFont="1" applyFill="1" applyBorder="1" applyAlignment="1" applyProtection="1">
      <alignment horizontal="left" vertical="center" wrapText="1"/>
      <protection/>
    </xf>
    <xf numFmtId="49" fontId="20" fillId="0" borderId="10" xfId="54" applyNumberFormat="1" applyFont="1" applyFill="1" applyBorder="1" applyAlignment="1" applyProtection="1">
      <alignment horizontal="center" vertical="center"/>
      <protection/>
    </xf>
    <xf numFmtId="49" fontId="21" fillId="0" borderId="17" xfId="54" applyNumberFormat="1" applyFont="1" applyFill="1" applyBorder="1" applyAlignment="1" applyProtection="1">
      <alignment horizontal="left" vertical="center"/>
      <protection/>
    </xf>
    <xf numFmtId="172" fontId="21" fillId="0" borderId="16" xfId="54" applyNumberFormat="1" applyFont="1" applyFill="1" applyBorder="1" applyAlignment="1" applyProtection="1">
      <alignment horizontal="center" vertical="center"/>
      <protection/>
    </xf>
    <xf numFmtId="173" fontId="21" fillId="0" borderId="16" xfId="54" applyNumberFormat="1" applyFont="1" applyFill="1" applyBorder="1" applyAlignment="1" applyProtection="1">
      <alignment horizontal="center" vertical="center"/>
      <protection/>
    </xf>
    <xf numFmtId="49" fontId="21" fillId="0" borderId="10" xfId="54" applyNumberFormat="1" applyFont="1" applyFill="1" applyBorder="1" applyAlignment="1" applyProtection="1">
      <alignment horizontal="center" vertical="center"/>
      <protection/>
    </xf>
    <xf numFmtId="172" fontId="21" fillId="0" borderId="15" xfId="54" applyNumberFormat="1" applyFont="1" applyFill="1" applyBorder="1" applyAlignment="1" applyProtection="1">
      <alignment horizontal="center" vertical="center"/>
      <protection/>
    </xf>
    <xf numFmtId="173" fontId="21" fillId="0" borderId="15" xfId="54" applyNumberFormat="1" applyFont="1" applyFill="1" applyBorder="1" applyAlignment="1" applyProtection="1">
      <alignment horizontal="center" vertical="center"/>
      <protection/>
    </xf>
    <xf numFmtId="12" fontId="21" fillId="0" borderId="10" xfId="54" applyNumberFormat="1" applyFont="1" applyFill="1" applyBorder="1" applyAlignment="1" applyProtection="1">
      <alignment horizontal="justify" vertical="center" wrapText="1"/>
      <protection/>
    </xf>
    <xf numFmtId="172" fontId="21" fillId="0" borderId="20" xfId="54" applyNumberFormat="1" applyFont="1" applyFill="1" applyBorder="1" applyAlignment="1" applyProtection="1">
      <alignment horizontal="center" vertical="center"/>
      <protection/>
    </xf>
    <xf numFmtId="172" fontId="21" fillId="0" borderId="38" xfId="56" applyNumberFormat="1" applyFont="1" applyFill="1" applyBorder="1" applyAlignment="1" applyProtection="1">
      <alignment horizontal="center" vertical="center"/>
      <protection/>
    </xf>
    <xf numFmtId="172" fontId="21" fillId="0" borderId="36" xfId="56" applyNumberFormat="1" applyFont="1" applyFill="1" applyBorder="1" applyAlignment="1" applyProtection="1">
      <alignment horizontal="center" vertical="center"/>
      <protection/>
    </xf>
    <xf numFmtId="49" fontId="21" fillId="0" borderId="14" xfId="54" applyNumberFormat="1" applyFont="1" applyFill="1" applyBorder="1" applyAlignment="1" applyProtection="1">
      <alignment horizontal="justify" vertical="center" wrapText="1"/>
      <protection/>
    </xf>
    <xf numFmtId="173" fontId="21" fillId="0" borderId="20" xfId="54" applyNumberFormat="1" applyFont="1" applyFill="1" applyBorder="1" applyAlignment="1" applyProtection="1">
      <alignment horizontal="center" vertical="center"/>
      <protection/>
    </xf>
    <xf numFmtId="172" fontId="21" fillId="0" borderId="10" xfId="56" applyNumberFormat="1" applyFont="1" applyFill="1" applyBorder="1" applyAlignment="1" applyProtection="1">
      <alignment horizontal="center" vertical="center"/>
      <protection/>
    </xf>
    <xf numFmtId="49" fontId="21" fillId="0" borderId="59" xfId="54" applyNumberFormat="1" applyFont="1" applyFill="1" applyBorder="1" applyAlignment="1" applyProtection="1">
      <alignment horizontal="justify" vertical="center" wrapText="1"/>
      <protection/>
    </xf>
    <xf numFmtId="49" fontId="21" fillId="0" borderId="49" xfId="54" applyNumberFormat="1" applyFont="1" applyFill="1" applyBorder="1" applyAlignment="1" applyProtection="1">
      <alignment horizontal="center" vertical="center"/>
      <protection/>
    </xf>
    <xf numFmtId="49" fontId="21" fillId="0" borderId="13" xfId="54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172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49" fontId="20" fillId="0" borderId="17" xfId="54" applyNumberFormat="1" applyFont="1" applyFill="1" applyBorder="1" applyAlignment="1" applyProtection="1">
      <alignment horizontal="justify" vertical="center"/>
      <protection/>
    </xf>
    <xf numFmtId="49" fontId="20" fillId="0" borderId="17" xfId="54" applyNumberFormat="1" applyFont="1" applyFill="1" applyBorder="1" applyAlignment="1" applyProtection="1">
      <alignment horizontal="center" vertical="center"/>
      <protection/>
    </xf>
    <xf numFmtId="172" fontId="21" fillId="0" borderId="15" xfId="56" applyNumberFormat="1" applyFont="1" applyFill="1" applyBorder="1" applyAlignment="1" applyProtection="1">
      <alignment horizontal="center" vertical="center"/>
      <protection/>
    </xf>
    <xf numFmtId="173" fontId="20" fillId="0" borderId="15" xfId="56" applyNumberFormat="1" applyFont="1" applyFill="1" applyBorder="1" applyAlignment="1" applyProtection="1">
      <alignment horizontal="center" vertical="center"/>
      <protection/>
    </xf>
    <xf numFmtId="172" fontId="21" fillId="0" borderId="15" xfId="0" applyNumberFormat="1" applyFont="1" applyFill="1" applyBorder="1" applyAlignment="1" applyProtection="1">
      <alignment horizontal="center" vertical="center"/>
      <protection hidden="1"/>
    </xf>
    <xf numFmtId="49" fontId="21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172" fontId="18" fillId="0" borderId="30" xfId="56" applyNumberFormat="1" applyFont="1" applyFill="1" applyBorder="1" applyAlignment="1" applyProtection="1">
      <alignment horizontal="center" vertical="center" wrapText="1"/>
      <protection locked="0"/>
    </xf>
    <xf numFmtId="172" fontId="18" fillId="0" borderId="31" xfId="5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5" fillId="0" borderId="10" xfId="56" applyNumberFormat="1" applyFont="1" applyFill="1" applyBorder="1" applyAlignment="1" applyProtection="1">
      <alignment horizontal="center" vertical="center" wrapText="1"/>
      <protection/>
    </xf>
    <xf numFmtId="173" fontId="15" fillId="34" borderId="10" xfId="56" applyNumberFormat="1" applyFont="1" applyFill="1" applyBorder="1" applyAlignment="1" applyProtection="1">
      <alignment horizontal="center" vertical="center"/>
      <protection/>
    </xf>
    <xf numFmtId="173" fontId="15" fillId="35" borderId="10" xfId="56" applyNumberFormat="1" applyFont="1" applyFill="1" applyBorder="1" applyAlignment="1" applyProtection="1">
      <alignment horizontal="center" vertical="center"/>
      <protection/>
    </xf>
    <xf numFmtId="172" fontId="14" fillId="0" borderId="10" xfId="56" applyNumberFormat="1" applyFont="1" applyFill="1" applyBorder="1" applyAlignment="1" applyProtection="1">
      <alignment horizontal="center" vertical="center"/>
      <protection/>
    </xf>
    <xf numFmtId="173" fontId="14" fillId="0" borderId="10" xfId="56" applyNumberFormat="1" applyFont="1" applyFill="1" applyBorder="1" applyAlignment="1" applyProtection="1">
      <alignment horizontal="center" vertical="center"/>
      <protection/>
    </xf>
    <xf numFmtId="172" fontId="14" fillId="0" borderId="34" xfId="56" applyNumberFormat="1" applyFont="1" applyFill="1" applyBorder="1" applyAlignment="1" applyProtection="1">
      <alignment horizontal="center" vertical="center"/>
      <protection/>
    </xf>
    <xf numFmtId="172" fontId="14" fillId="0" borderId="24" xfId="56" applyNumberFormat="1" applyFont="1" applyFill="1" applyBorder="1" applyAlignment="1" applyProtection="1">
      <alignment horizontal="center" vertical="center"/>
      <protection/>
    </xf>
    <xf numFmtId="172" fontId="14" fillId="0" borderId="35" xfId="56" applyNumberFormat="1" applyFont="1" applyFill="1" applyBorder="1" applyAlignment="1" applyProtection="1">
      <alignment horizontal="center" vertical="center"/>
      <protection/>
    </xf>
    <xf numFmtId="172" fontId="14" fillId="0" borderId="36" xfId="56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173" fontId="15" fillId="0" borderId="10" xfId="56" applyNumberFormat="1" applyFont="1" applyFill="1" applyBorder="1" applyAlignment="1" applyProtection="1">
      <alignment horizontal="center" vertical="center"/>
      <protection/>
    </xf>
    <xf numFmtId="173" fontId="15" fillId="37" borderId="10" xfId="56" applyNumberFormat="1" applyFont="1" applyFill="1" applyBorder="1" applyAlignment="1" applyProtection="1">
      <alignment horizontal="center" vertical="center"/>
      <protection/>
    </xf>
    <xf numFmtId="0" fontId="14" fillId="0" borderId="10" xfId="56" applyNumberFormat="1" applyFont="1" applyFill="1" applyBorder="1" applyAlignment="1" applyProtection="1">
      <alignment vertical="top" wrapText="1"/>
      <protection/>
    </xf>
    <xf numFmtId="0" fontId="14" fillId="0" borderId="10" xfId="56" applyNumberFormat="1" applyFont="1" applyFill="1" applyBorder="1" applyAlignment="1" applyProtection="1">
      <alignment horizontal="left" vertical="top" wrapText="1"/>
      <protection/>
    </xf>
    <xf numFmtId="172" fontId="14" fillId="0" borderId="40" xfId="56" applyNumberFormat="1" applyFont="1" applyFill="1" applyBorder="1" applyAlignment="1" applyProtection="1">
      <alignment horizontal="center" vertical="center"/>
      <protection/>
    </xf>
    <xf numFmtId="172" fontId="14" fillId="0" borderId="38" xfId="56" applyNumberFormat="1" applyFont="1" applyFill="1" applyBorder="1" applyAlignment="1" applyProtection="1">
      <alignment horizontal="center" vertical="center"/>
      <protection/>
    </xf>
    <xf numFmtId="172" fontId="14" fillId="0" borderId="39" xfId="56" applyNumberFormat="1" applyFont="1" applyFill="1" applyBorder="1" applyAlignment="1" applyProtection="1">
      <alignment horizontal="center" vertical="center"/>
      <protection/>
    </xf>
    <xf numFmtId="172" fontId="14" fillId="0" borderId="0" xfId="56" applyNumberFormat="1" applyFont="1" applyFill="1" applyBorder="1" applyAlignment="1" applyProtection="1">
      <alignment horizontal="center" vertical="center"/>
      <protection/>
    </xf>
    <xf numFmtId="172" fontId="15" fillId="0" borderId="40" xfId="56" applyNumberFormat="1" applyFont="1" applyFill="1" applyBorder="1" applyAlignment="1" applyProtection="1">
      <alignment horizontal="center" vertical="center"/>
      <protection/>
    </xf>
    <xf numFmtId="172" fontId="15" fillId="0" borderId="24" xfId="56" applyNumberFormat="1" applyFont="1" applyFill="1" applyBorder="1" applyAlignment="1" applyProtection="1">
      <alignment horizontal="center" vertical="center"/>
      <protection/>
    </xf>
    <xf numFmtId="172" fontId="15" fillId="0" borderId="38" xfId="56" applyNumberFormat="1" applyFont="1" applyFill="1" applyBorder="1" applyAlignment="1" applyProtection="1">
      <alignment horizontal="center" vertical="center"/>
      <protection/>
    </xf>
    <xf numFmtId="172" fontId="15" fillId="0" borderId="39" xfId="56" applyNumberFormat="1" applyFont="1" applyFill="1" applyBorder="1" applyAlignment="1" applyProtection="1">
      <alignment horizontal="center" vertical="center"/>
      <protection/>
    </xf>
    <xf numFmtId="172" fontId="14" fillId="0" borderId="42" xfId="56" applyNumberFormat="1" applyFont="1" applyFill="1" applyBorder="1" applyAlignment="1" applyProtection="1">
      <alignment horizontal="center" vertical="center"/>
      <protection/>
    </xf>
    <xf numFmtId="172" fontId="14" fillId="0" borderId="43" xfId="56" applyNumberFormat="1" applyFont="1" applyFill="1" applyBorder="1" applyAlignment="1" applyProtection="1">
      <alignment horizontal="center" vertical="center"/>
      <protection/>
    </xf>
    <xf numFmtId="172" fontId="14" fillId="0" borderId="63" xfId="56" applyNumberFormat="1" applyFont="1" applyFill="1" applyBorder="1" applyAlignment="1" applyProtection="1">
      <alignment horizontal="center" vertical="center"/>
      <protection/>
    </xf>
    <xf numFmtId="172" fontId="14" fillId="0" borderId="29" xfId="56" applyNumberFormat="1" applyFont="1" applyFill="1" applyBorder="1" applyAlignment="1" applyProtection="1">
      <alignment horizontal="center" vertical="center"/>
      <protection/>
    </xf>
    <xf numFmtId="173" fontId="14" fillId="38" borderId="10" xfId="56" applyNumberFormat="1" applyFont="1" applyFill="1" applyBorder="1" applyAlignment="1" applyProtection="1">
      <alignment horizontal="center" vertical="center"/>
      <protection/>
    </xf>
    <xf numFmtId="173" fontId="12" fillId="0" borderId="40" xfId="56" applyNumberFormat="1" applyFont="1" applyFill="1" applyBorder="1" applyAlignment="1" applyProtection="1">
      <alignment horizontal="center" vertical="center"/>
      <protection/>
    </xf>
    <xf numFmtId="173" fontId="12" fillId="0" borderId="24" xfId="56" applyNumberFormat="1" applyFont="1" applyFill="1" applyBorder="1" applyAlignment="1" applyProtection="1">
      <alignment horizontal="center" vertical="center"/>
      <protection/>
    </xf>
    <xf numFmtId="172" fontId="15" fillId="0" borderId="30" xfId="56" applyNumberFormat="1" applyFont="1" applyFill="1" applyBorder="1" applyAlignment="1" applyProtection="1">
      <alignment horizontal="center" vertical="center"/>
      <protection/>
    </xf>
    <xf numFmtId="172" fontId="15" fillId="0" borderId="37" xfId="56" applyNumberFormat="1" applyFont="1" applyFill="1" applyBorder="1" applyAlignment="1" applyProtection="1">
      <alignment horizontal="center" vertical="center"/>
      <protection/>
    </xf>
    <xf numFmtId="172" fontId="14" fillId="0" borderId="45" xfId="56" applyNumberFormat="1" applyFont="1" applyFill="1" applyBorder="1" applyAlignment="1" applyProtection="1">
      <alignment horizontal="center" vertical="center"/>
      <protection/>
    </xf>
    <xf numFmtId="173" fontId="12" fillId="0" borderId="30" xfId="56" applyNumberFormat="1" applyFont="1" applyFill="1" applyBorder="1" applyAlignment="1" applyProtection="1">
      <alignment horizontal="center" vertical="center"/>
      <protection/>
    </xf>
    <xf numFmtId="173" fontId="12" fillId="0" borderId="31" xfId="56" applyNumberFormat="1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hidden="1"/>
    </xf>
    <xf numFmtId="172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9" fontId="21" fillId="0" borderId="21" xfId="0" applyNumberFormat="1" applyFont="1" applyFill="1" applyBorder="1" applyAlignment="1" applyProtection="1">
      <alignment horizontal="left" vertical="center" wrapText="1"/>
      <protection hidden="1"/>
    </xf>
    <xf numFmtId="172" fontId="21" fillId="0" borderId="21" xfId="0" applyNumberFormat="1" applyFont="1" applyFill="1" applyBorder="1" applyAlignment="1" applyProtection="1">
      <alignment horizontal="center" vertical="center" wrapText="1"/>
      <protection hidden="1"/>
    </xf>
    <xf numFmtId="172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22" xfId="0" applyNumberFormat="1" applyFont="1" applyFill="1" applyBorder="1" applyAlignment="1" applyProtection="1">
      <alignment horizontal="center" vertical="center" wrapText="1"/>
      <protection hidden="1"/>
    </xf>
    <xf numFmtId="172" fontId="16" fillId="34" borderId="30" xfId="56" applyNumberFormat="1" applyFont="1" applyFill="1" applyBorder="1" applyAlignment="1" applyProtection="1">
      <alignment horizontal="center" vertical="center"/>
      <protection locked="0"/>
    </xf>
    <xf numFmtId="172" fontId="16" fillId="34" borderId="31" xfId="56" applyNumberFormat="1" applyFont="1" applyFill="1" applyBorder="1" applyAlignment="1" applyProtection="1">
      <alignment horizontal="center" vertical="center"/>
      <protection locked="0"/>
    </xf>
    <xf numFmtId="173" fontId="15" fillId="34" borderId="10" xfId="0" applyNumberFormat="1" applyFont="1" applyFill="1" applyBorder="1" applyAlignment="1" applyProtection="1">
      <alignment horizontal="center" vertical="center"/>
      <protection locked="0"/>
    </xf>
    <xf numFmtId="172" fontId="16" fillId="35" borderId="32" xfId="56" applyNumberFormat="1" applyFont="1" applyFill="1" applyBorder="1" applyAlignment="1" applyProtection="1">
      <alignment horizontal="center" vertical="center"/>
      <protection locked="0"/>
    </xf>
    <xf numFmtId="172" fontId="16" fillId="35" borderId="33" xfId="56" applyNumberFormat="1" applyFont="1" applyFill="1" applyBorder="1" applyAlignment="1" applyProtection="1">
      <alignment horizontal="center" vertical="center"/>
      <protection locked="0"/>
    </xf>
    <xf numFmtId="173" fontId="15" fillId="35" borderId="10" xfId="0" applyNumberFormat="1" applyFont="1" applyFill="1" applyBorder="1" applyAlignment="1" applyProtection="1">
      <alignment horizontal="center" vertical="center"/>
      <protection locked="0"/>
    </xf>
    <xf numFmtId="172" fontId="16" fillId="35" borderId="30" xfId="56" applyNumberFormat="1" applyFont="1" applyFill="1" applyBorder="1" applyAlignment="1" applyProtection="1">
      <alignment horizontal="center" vertical="center"/>
      <protection/>
    </xf>
    <xf numFmtId="172" fontId="16" fillId="35" borderId="37" xfId="56" applyNumberFormat="1" applyFont="1" applyFill="1" applyBorder="1" applyAlignment="1" applyProtection="1">
      <alignment horizontal="center" vertical="center"/>
      <protection/>
    </xf>
    <xf numFmtId="172" fontId="15" fillId="35" borderId="38" xfId="56" applyNumberFormat="1" applyFont="1" applyFill="1" applyBorder="1" applyAlignment="1" applyProtection="1">
      <alignment horizontal="center" vertical="center"/>
      <protection/>
    </xf>
    <xf numFmtId="172" fontId="15" fillId="35" borderId="39" xfId="56" applyNumberFormat="1" applyFont="1" applyFill="1" applyBorder="1" applyAlignment="1" applyProtection="1">
      <alignment horizontal="center" vertical="center"/>
      <protection/>
    </xf>
    <xf numFmtId="172" fontId="15" fillId="35" borderId="30" xfId="56" applyNumberFormat="1" applyFont="1" applyFill="1" applyBorder="1" applyAlignment="1" applyProtection="1">
      <alignment horizontal="center" vertical="center"/>
      <protection/>
    </xf>
    <xf numFmtId="172" fontId="15" fillId="35" borderId="37" xfId="56" applyNumberFormat="1" applyFont="1" applyFill="1" applyBorder="1" applyAlignment="1" applyProtection="1">
      <alignment horizontal="center" vertical="center"/>
      <protection/>
    </xf>
    <xf numFmtId="172" fontId="15" fillId="34" borderId="30" xfId="56" applyNumberFormat="1" applyFont="1" applyFill="1" applyBorder="1" applyAlignment="1" applyProtection="1">
      <alignment horizontal="center" vertical="center"/>
      <protection/>
    </xf>
    <xf numFmtId="172" fontId="15" fillId="34" borderId="37" xfId="56" applyNumberFormat="1" applyFont="1" applyFill="1" applyBorder="1" applyAlignment="1" applyProtection="1">
      <alignment horizontal="center" vertical="center"/>
      <protection/>
    </xf>
    <xf numFmtId="172" fontId="15" fillId="35" borderId="32" xfId="56" applyNumberFormat="1" applyFont="1" applyFill="1" applyBorder="1" applyAlignment="1" applyProtection="1">
      <alignment horizontal="center" vertical="center"/>
      <protection/>
    </xf>
    <xf numFmtId="172" fontId="15" fillId="35" borderId="41" xfId="56" applyNumberFormat="1" applyFont="1" applyFill="1" applyBorder="1" applyAlignment="1" applyProtection="1">
      <alignment horizontal="center" vertical="center"/>
      <protection/>
    </xf>
    <xf numFmtId="172" fontId="14" fillId="38" borderId="40" xfId="56" applyNumberFormat="1" applyFont="1" applyFill="1" applyBorder="1" applyAlignment="1" applyProtection="1">
      <alignment horizontal="center" vertical="center"/>
      <protection/>
    </xf>
    <xf numFmtId="172" fontId="14" fillId="38" borderId="24" xfId="56" applyNumberFormat="1" applyFont="1" applyFill="1" applyBorder="1" applyAlignment="1" applyProtection="1">
      <alignment horizontal="center" vertical="center"/>
      <protection/>
    </xf>
    <xf numFmtId="172" fontId="14" fillId="38" borderId="38" xfId="56" applyNumberFormat="1" applyFont="1" applyFill="1" applyBorder="1" applyAlignment="1" applyProtection="1">
      <alignment horizontal="center" vertical="center"/>
      <protection/>
    </xf>
    <xf numFmtId="172" fontId="14" fillId="38" borderId="39" xfId="5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172" fontId="21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23" fillId="37" borderId="45" xfId="0" applyNumberFormat="1" applyFont="1" applyFill="1" applyBorder="1" applyAlignment="1" applyProtection="1">
      <alignment horizontal="center" vertical="center" wrapText="1"/>
      <protection hidden="1"/>
    </xf>
    <xf numFmtId="49" fontId="23" fillId="37" borderId="10" xfId="0" applyNumberFormat="1" applyFont="1" applyFill="1" applyBorder="1" applyAlignment="1" applyProtection="1">
      <alignment horizontal="center" vertical="center" wrapText="1"/>
      <protection hidden="1"/>
    </xf>
    <xf numFmtId="2" fontId="23" fillId="37" borderId="35" xfId="0" applyNumberFormat="1" applyFont="1" applyFill="1" applyBorder="1" applyAlignment="1" applyProtection="1">
      <alignment horizontal="center" vertical="center" wrapText="1"/>
      <protection hidden="1"/>
    </xf>
    <xf numFmtId="2" fontId="23" fillId="37" borderId="10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54" applyNumberFormat="1" applyFont="1" applyFill="1" applyBorder="1" applyAlignment="1" applyProtection="1">
      <alignment horizontal="justify" vertical="top"/>
      <protection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/>
    </xf>
    <xf numFmtId="0" fontId="28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73" fontId="18" fillId="0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173" fontId="2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0" xfId="57" applyNumberFormat="1" applyFont="1" applyFill="1" applyBorder="1" applyAlignment="1" applyProtection="1">
      <alignment horizontal="right" vertical="center"/>
      <protection/>
    </xf>
    <xf numFmtId="49" fontId="24" fillId="0" borderId="0" xfId="57" applyNumberFormat="1" applyFont="1" applyFill="1" applyBorder="1" applyAlignment="1" applyProtection="1">
      <alignment horizontal="center" vertical="center"/>
      <protection/>
    </xf>
    <xf numFmtId="0" fontId="24" fillId="0" borderId="0" xfId="57" applyNumberFormat="1" applyFont="1" applyFill="1" applyBorder="1" applyAlignment="1" applyProtection="1">
      <alignment vertical="top"/>
      <protection/>
    </xf>
    <xf numFmtId="0" fontId="24" fillId="0" borderId="0" xfId="57" applyNumberFormat="1" applyFont="1" applyFill="1" applyBorder="1" applyAlignment="1" applyProtection="1">
      <alignment horizontal="right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vertical="top" wrapText="1"/>
      <protection/>
    </xf>
    <xf numFmtId="172" fontId="21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5" xfId="0" applyNumberFormat="1" applyFont="1" applyFill="1" applyBorder="1" applyAlignment="1" applyProtection="1">
      <alignment horizontal="left" vertical="center" wrapText="1"/>
      <protection hidden="1"/>
    </xf>
    <xf numFmtId="49" fontId="21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23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8" applyNumberFormat="1" applyFill="1" applyBorder="1" applyAlignment="1" applyProtection="1">
      <alignment horizontal="center" vertical="top"/>
      <protection/>
    </xf>
    <xf numFmtId="0" fontId="8" fillId="0" borderId="0" xfId="58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6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0" borderId="39" xfId="56" applyNumberFormat="1" applyFont="1" applyFill="1" applyBorder="1" applyAlignment="1" applyProtection="1">
      <alignment horizontal="left" vertical="top"/>
      <protection/>
    </xf>
    <xf numFmtId="0" fontId="15" fillId="0" borderId="35" xfId="56" applyNumberFormat="1" applyFont="1" applyFill="1" applyBorder="1" applyAlignment="1" applyProtection="1">
      <alignment horizontal="left" vertical="top"/>
      <protection/>
    </xf>
    <xf numFmtId="0" fontId="15" fillId="0" borderId="45" xfId="56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45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4" fillId="0" borderId="64" xfId="0" applyNumberFormat="1" applyFont="1" applyFill="1" applyBorder="1" applyAlignment="1" applyProtection="1">
      <alignment horizontal="right" vertical="top"/>
      <protection/>
    </xf>
    <xf numFmtId="0" fontId="18" fillId="0" borderId="39" xfId="0" applyNumberFormat="1" applyFont="1" applyFill="1" applyBorder="1" applyAlignment="1" applyProtection="1">
      <alignment vertical="center" wrapText="1"/>
      <protection/>
    </xf>
    <xf numFmtId="0" fontId="18" fillId="0" borderId="45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49" fontId="24" fillId="0" borderId="0" xfId="57" applyNumberFormat="1" applyFont="1" applyFill="1" applyBorder="1" applyAlignment="1" applyProtection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5" fillId="0" borderId="10" xfId="56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56" applyNumberFormat="1" applyFont="1" applyFill="1" applyBorder="1" applyAlignment="1" applyProtection="1">
      <alignment horizontal="center" vertical="top"/>
      <protection locked="0"/>
    </xf>
    <xf numFmtId="172" fontId="15" fillId="0" borderId="10" xfId="56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56" applyNumberFormat="1" applyFont="1" applyFill="1" applyBorder="1" applyAlignment="1" applyProtection="1">
      <alignment horizontal="center" vertical="top"/>
      <protection locked="0"/>
    </xf>
    <xf numFmtId="0" fontId="15" fillId="0" borderId="10" xfId="56" applyNumberFormat="1" applyFont="1" applyFill="1" applyBorder="1" applyAlignment="1" applyProtection="1">
      <alignment horizontal="left" vertical="top"/>
      <protection locked="0"/>
    </xf>
    <xf numFmtId="172" fontId="15" fillId="0" borderId="10" xfId="56" applyNumberFormat="1" applyFont="1" applyFill="1" applyBorder="1" applyAlignment="1" applyProtection="1">
      <alignment horizontal="center" vertical="top"/>
      <protection locked="0"/>
    </xf>
    <xf numFmtId="173" fontId="15" fillId="0" borderId="10" xfId="56" applyNumberFormat="1" applyFont="1" applyFill="1" applyBorder="1" applyAlignment="1" applyProtection="1">
      <alignment horizontal="center" vertical="top"/>
      <protection locked="0"/>
    </xf>
    <xf numFmtId="0" fontId="15" fillId="0" borderId="10" xfId="56" applyNumberFormat="1" applyFont="1" applyFill="1" applyBorder="1" applyAlignment="1" applyProtection="1">
      <alignment horizontal="left" vertical="top" wrapText="1"/>
      <protection locked="0"/>
    </xf>
    <xf numFmtId="49" fontId="14" fillId="0" borderId="10" xfId="56" applyNumberFormat="1" applyFont="1" applyFill="1" applyBorder="1" applyAlignment="1" applyProtection="1">
      <alignment horizontal="center" vertical="top"/>
      <protection/>
    </xf>
    <xf numFmtId="3" fontId="14" fillId="0" borderId="10" xfId="56" applyNumberFormat="1" applyFont="1" applyFill="1" applyBorder="1" applyAlignment="1" applyProtection="1">
      <alignment horizontal="center" vertical="top"/>
      <protection/>
    </xf>
    <xf numFmtId="172" fontId="14" fillId="0" borderId="10" xfId="56" applyNumberFormat="1" applyFont="1" applyFill="1" applyBorder="1" applyAlignment="1" applyProtection="1">
      <alignment horizontal="center" vertical="top"/>
      <protection/>
    </xf>
    <xf numFmtId="173" fontId="14" fillId="0" borderId="10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horizontal="center" vertical="top"/>
      <protection/>
    </xf>
    <xf numFmtId="3" fontId="15" fillId="0" borderId="10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horizontal="left" vertical="top" wrapText="1"/>
      <protection/>
    </xf>
    <xf numFmtId="172" fontId="15" fillId="0" borderId="10" xfId="56" applyNumberFormat="1" applyFont="1" applyFill="1" applyBorder="1" applyAlignment="1" applyProtection="1">
      <alignment horizontal="center" vertical="top"/>
      <protection/>
    </xf>
    <xf numFmtId="173" fontId="15" fillId="0" borderId="10" xfId="56" applyNumberFormat="1" applyFont="1" applyFill="1" applyBorder="1" applyAlignment="1" applyProtection="1">
      <alignment horizontal="center" vertical="top"/>
      <protection/>
    </xf>
    <xf numFmtId="0" fontId="14" fillId="0" borderId="10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vertical="top" wrapText="1"/>
      <protection/>
    </xf>
    <xf numFmtId="0" fontId="15" fillId="0" borderId="10" xfId="56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 hidden="1"/>
    </xf>
    <xf numFmtId="0" fontId="18" fillId="0" borderId="10" xfId="0" applyNumberFormat="1" applyFont="1" applyFill="1" applyBorder="1" applyAlignment="1" applyProtection="1">
      <alignment horizontal="center" vertical="top" wrapText="1"/>
      <protection hidden="1"/>
    </xf>
    <xf numFmtId="172" fontId="18" fillId="0" borderId="10" xfId="0" applyNumberFormat="1" applyFont="1" applyFill="1" applyBorder="1" applyAlignment="1" applyProtection="1">
      <alignment horizontal="center" vertical="top" wrapText="1"/>
      <protection hidden="1"/>
    </xf>
    <xf numFmtId="172" fontId="18" fillId="0" borderId="10" xfId="56" applyNumberFormat="1" applyFont="1" applyFill="1" applyBorder="1" applyAlignment="1" applyProtection="1">
      <alignment horizontal="center" vertical="top" wrapTex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 hidden="1"/>
    </xf>
    <xf numFmtId="49" fontId="20" fillId="0" borderId="10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10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10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10" xfId="0" applyNumberFormat="1" applyFont="1" applyFill="1" applyBorder="1" applyAlignment="1" applyProtection="1">
      <alignment horizontal="center" vertical="top" wrapText="1"/>
      <protection hidden="1"/>
    </xf>
    <xf numFmtId="173" fontId="2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1" fillId="0" borderId="10" xfId="0" applyFont="1" applyFill="1" applyBorder="1" applyAlignment="1">
      <alignment horizontal="left" vertical="top" wrapText="1"/>
    </xf>
    <xf numFmtId="0" fontId="20" fillId="0" borderId="46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center" vertical="top"/>
      <protection hidden="1"/>
    </xf>
    <xf numFmtId="2" fontId="21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0" xfId="0" applyNumberFormat="1" applyFont="1" applyFill="1" applyBorder="1" applyAlignment="1" applyProtection="1">
      <alignment horizontal="justify" vertical="top" wrapText="1"/>
      <protection hidden="1"/>
    </xf>
    <xf numFmtId="49" fontId="20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0" fillId="33" borderId="10" xfId="0" applyNumberFormat="1" applyFont="1" applyFill="1" applyBorder="1" applyAlignment="1" applyProtection="1">
      <alignment horizontal="center" vertical="top" wrapText="1"/>
      <protection hidden="1"/>
    </xf>
    <xf numFmtId="12" fontId="21" fillId="0" borderId="10" xfId="0" applyNumberFormat="1" applyFont="1" applyFill="1" applyBorder="1" applyAlignment="1" applyProtection="1">
      <alignment horizontal="justify" vertical="top" wrapText="1"/>
      <protection hidden="1"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72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49" fontId="21" fillId="0" borderId="10" xfId="0" applyNumberFormat="1" applyFont="1" applyFill="1" applyBorder="1" applyAlignment="1" applyProtection="1">
      <alignment horizontal="justify" vertical="top" wrapText="1"/>
      <protection hidden="1"/>
    </xf>
    <xf numFmtId="49" fontId="18" fillId="0" borderId="19" xfId="0" applyNumberFormat="1" applyFont="1" applyFill="1" applyBorder="1" applyAlignment="1" applyProtection="1">
      <alignment horizontal="left" vertical="top"/>
      <protection hidden="1"/>
    </xf>
    <xf numFmtId="49" fontId="18" fillId="0" borderId="19" xfId="0" applyNumberFormat="1" applyFont="1" applyFill="1" applyBorder="1" applyAlignment="1" applyProtection="1">
      <alignment horizontal="center" vertical="top"/>
      <protection hidden="1"/>
    </xf>
    <xf numFmtId="0" fontId="14" fillId="0" borderId="48" xfId="0" applyNumberFormat="1" applyFont="1" applyFill="1" applyBorder="1" applyAlignment="1" applyProtection="1">
      <alignment horizontal="center" vertical="top"/>
      <protection/>
    </xf>
    <xf numFmtId="172" fontId="14" fillId="0" borderId="48" xfId="0" applyNumberFormat="1" applyFont="1" applyFill="1" applyBorder="1" applyAlignment="1" applyProtection="1">
      <alignment horizontal="center" vertical="top"/>
      <protection/>
    </xf>
    <xf numFmtId="0" fontId="14" fillId="0" borderId="48" xfId="0" applyNumberFormat="1" applyFont="1" applyFill="1" applyBorder="1" applyAlignment="1" applyProtection="1">
      <alignment vertical="top"/>
      <protection/>
    </xf>
    <xf numFmtId="172" fontId="18" fillId="0" borderId="18" xfId="0" applyNumberFormat="1" applyFont="1" applyFill="1" applyBorder="1" applyAlignment="1" applyProtection="1">
      <alignment horizontal="center" vertical="top"/>
      <protection hidden="1"/>
    </xf>
    <xf numFmtId="173" fontId="18" fillId="0" borderId="18" xfId="0" applyNumberFormat="1" applyFont="1" applyFill="1" applyBorder="1" applyAlignment="1" applyProtection="1">
      <alignment horizontal="center" vertical="top"/>
      <protection hidden="1"/>
    </xf>
    <xf numFmtId="0" fontId="18" fillId="0" borderId="6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19" xfId="0" applyNumberFormat="1" applyFont="1" applyFill="1" applyBorder="1" applyAlignment="1" applyProtection="1">
      <alignment horizontal="center" vertical="top"/>
      <protection hidden="1"/>
    </xf>
    <xf numFmtId="0" fontId="18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18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18" fillId="0" borderId="19" xfId="56" applyNumberFormat="1" applyFont="1" applyFill="1" applyBorder="1" applyAlignment="1" applyProtection="1">
      <alignment horizontal="center" vertical="top" wrapText="1"/>
      <protection/>
    </xf>
    <xf numFmtId="172" fontId="18" fillId="0" borderId="18" xfId="56" applyNumberFormat="1" applyFont="1" applyFill="1" applyBorder="1" applyAlignment="1" applyProtection="1">
      <alignment horizontal="center" vertical="top" wrapText="1"/>
      <protection/>
    </xf>
    <xf numFmtId="49" fontId="22" fillId="0" borderId="61" xfId="0" applyNumberFormat="1" applyFont="1" applyFill="1" applyBorder="1" applyAlignment="1" applyProtection="1">
      <alignment horizontal="center" vertical="top" wrapText="1"/>
      <protection hidden="1"/>
    </xf>
    <xf numFmtId="49" fontId="22" fillId="0" borderId="19" xfId="0" applyNumberFormat="1" applyFont="1" applyFill="1" applyBorder="1" applyAlignment="1" applyProtection="1">
      <alignment horizontal="left" vertical="top" wrapText="1"/>
      <protection hidden="1"/>
    </xf>
    <xf numFmtId="49" fontId="22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22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22" fillId="0" borderId="18" xfId="0" applyNumberFormat="1" applyFont="1" applyFill="1" applyBorder="1" applyAlignment="1" applyProtection="1">
      <alignment horizontal="center" vertical="top" wrapText="1"/>
      <protection hidden="1"/>
    </xf>
    <xf numFmtId="173" fontId="22" fillId="0" borderId="18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25" xfId="0" applyNumberFormat="1" applyFont="1" applyFill="1" applyBorder="1" applyAlignment="1" applyProtection="1">
      <alignment horizontal="left" vertical="top" wrapText="1"/>
      <protection hidden="1"/>
    </xf>
    <xf numFmtId="49" fontId="20" fillId="0" borderId="17" xfId="0" applyNumberFormat="1" applyFont="1" applyFill="1" applyBorder="1" applyAlignment="1" applyProtection="1">
      <alignment horizontal="left" vertical="top" wrapText="1"/>
      <protection hidden="1"/>
    </xf>
    <xf numFmtId="49" fontId="20" fillId="0" borderId="17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16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16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46" xfId="0" applyNumberFormat="1" applyFont="1" applyFill="1" applyBorder="1" applyAlignment="1" applyProtection="1">
      <alignment horizontal="left" vertical="top" wrapText="1"/>
      <protection hidden="1"/>
    </xf>
    <xf numFmtId="172" fontId="20" fillId="0" borderId="15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15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15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39" xfId="0" applyNumberFormat="1" applyFont="1" applyFill="1" applyBorder="1" applyAlignment="1" applyProtection="1">
      <alignment horizontal="center" vertical="top" wrapText="1"/>
      <protection hidden="1"/>
    </xf>
    <xf numFmtId="173" fontId="21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0" xfId="54" applyNumberFormat="1" applyFont="1" applyFill="1" applyBorder="1" applyAlignment="1" applyProtection="1">
      <alignment horizontal="left" vertical="top" wrapText="1"/>
      <protection/>
    </xf>
    <xf numFmtId="49" fontId="20" fillId="0" borderId="10" xfId="54" applyNumberFormat="1" applyFont="1" applyFill="1" applyBorder="1" applyAlignment="1" applyProtection="1">
      <alignment horizontal="center" vertical="top"/>
      <protection/>
    </xf>
    <xf numFmtId="172" fontId="21" fillId="0" borderId="20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43" xfId="0" applyNumberFormat="1" applyFont="1" applyFill="1" applyBorder="1" applyAlignment="1" applyProtection="1">
      <alignment horizontal="center" vertical="top" wrapText="1"/>
      <protection hidden="1"/>
    </xf>
    <xf numFmtId="173" fontId="21" fillId="0" borderId="20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10" xfId="54" applyNumberFormat="1" applyFont="1" applyFill="1" applyBorder="1" applyAlignment="1" applyProtection="1">
      <alignment horizontal="justify" vertical="top" wrapText="1"/>
      <protection/>
    </xf>
    <xf numFmtId="172" fontId="21" fillId="0" borderId="53" xfId="0" applyNumberFormat="1" applyFont="1" applyFill="1" applyBorder="1" applyAlignment="1" applyProtection="1">
      <alignment horizontal="center" vertical="top" wrapText="1"/>
      <protection hidden="1"/>
    </xf>
    <xf numFmtId="49" fontId="21" fillId="38" borderId="10" xfId="0" applyNumberFormat="1" applyFont="1" applyFill="1" applyBorder="1" applyAlignment="1" applyProtection="1">
      <alignment horizontal="left" vertical="top" wrapText="1"/>
      <protection hidden="1"/>
    </xf>
    <xf numFmtId="49" fontId="22" fillId="0" borderId="46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35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46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 wrapText="1"/>
    </xf>
    <xf numFmtId="49" fontId="21" fillId="0" borderId="46" xfId="0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Fill="1" applyBorder="1" applyAlignment="1" applyProtection="1">
      <alignment horizontal="center" vertical="top"/>
      <protection hidden="1"/>
    </xf>
    <xf numFmtId="49" fontId="20" fillId="38" borderId="10" xfId="0" applyNumberFormat="1" applyFont="1" applyFill="1" applyBorder="1" applyAlignment="1" applyProtection="1">
      <alignment horizontal="center" vertical="top" wrapText="1"/>
      <protection hidden="1"/>
    </xf>
    <xf numFmtId="2" fontId="20" fillId="37" borderId="10" xfId="0" applyNumberFormat="1" applyFont="1" applyFill="1" applyBorder="1" applyAlignment="1" applyProtection="1">
      <alignment horizontal="center" vertical="top" wrapText="1"/>
      <protection hidden="1"/>
    </xf>
    <xf numFmtId="172" fontId="21" fillId="38" borderId="15" xfId="0" applyNumberFormat="1" applyFont="1" applyFill="1" applyBorder="1" applyAlignment="1" applyProtection="1">
      <alignment horizontal="center" vertical="top" wrapText="1"/>
      <protection hidden="1"/>
    </xf>
    <xf numFmtId="2" fontId="21" fillId="37" borderId="39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57" xfId="0" applyNumberFormat="1" applyFont="1" applyFill="1" applyBorder="1" applyAlignment="1" applyProtection="1">
      <alignment vertical="top" wrapText="1"/>
      <protection hidden="1"/>
    </xf>
    <xf numFmtId="0" fontId="21" fillId="0" borderId="14" xfId="0" applyFont="1" applyBorder="1" applyAlignment="1">
      <alignment horizontal="left" vertical="top" wrapText="1"/>
    </xf>
    <xf numFmtId="49" fontId="21" fillId="0" borderId="14" xfId="0" applyNumberFormat="1" applyFont="1" applyFill="1" applyBorder="1" applyAlignment="1" applyProtection="1">
      <alignment horizontal="center" vertical="top"/>
      <protection hidden="1"/>
    </xf>
    <xf numFmtId="49" fontId="20" fillId="38" borderId="14" xfId="0" applyNumberFormat="1" applyFont="1" applyFill="1" applyBorder="1" applyAlignment="1" applyProtection="1">
      <alignment horizontal="center" vertical="top" wrapText="1"/>
      <protection hidden="1"/>
    </xf>
    <xf numFmtId="2" fontId="20" fillId="37" borderId="14" xfId="0" applyNumberFormat="1" applyFont="1" applyFill="1" applyBorder="1" applyAlignment="1" applyProtection="1">
      <alignment horizontal="center" vertical="top" wrapText="1"/>
      <protection hidden="1"/>
    </xf>
    <xf numFmtId="172" fontId="21" fillId="38" borderId="20" xfId="0" applyNumberFormat="1" applyFont="1" applyFill="1" applyBorder="1" applyAlignment="1" applyProtection="1">
      <alignment horizontal="center" vertical="top" wrapText="1"/>
      <protection hidden="1"/>
    </xf>
    <xf numFmtId="2" fontId="21" fillId="37" borderId="43" xfId="0" applyNumberFormat="1" applyFont="1" applyFill="1" applyBorder="1" applyAlignment="1" applyProtection="1">
      <alignment horizontal="center" vertical="top" wrapText="1"/>
      <protection hidden="1"/>
    </xf>
    <xf numFmtId="49" fontId="22" fillId="38" borderId="61" xfId="0" applyNumberFormat="1" applyFont="1" applyFill="1" applyBorder="1" applyAlignment="1" applyProtection="1">
      <alignment horizontal="center" vertical="top" wrapText="1"/>
      <protection hidden="1"/>
    </xf>
    <xf numFmtId="49" fontId="20" fillId="38" borderId="19" xfId="0" applyNumberFormat="1" applyFont="1" applyFill="1" applyBorder="1" applyAlignment="1" applyProtection="1">
      <alignment horizontal="center" vertical="top" wrapText="1"/>
      <protection hidden="1"/>
    </xf>
    <xf numFmtId="2" fontId="20" fillId="37" borderId="19" xfId="0" applyNumberFormat="1" applyFont="1" applyFill="1" applyBorder="1" applyAlignment="1" applyProtection="1">
      <alignment horizontal="center" vertical="top" wrapText="1"/>
      <protection hidden="1"/>
    </xf>
    <xf numFmtId="172" fontId="21" fillId="38" borderId="18" xfId="0" applyNumberFormat="1" applyFont="1" applyFill="1" applyBorder="1" applyAlignment="1" applyProtection="1">
      <alignment horizontal="center" vertical="top" wrapText="1"/>
      <protection hidden="1"/>
    </xf>
    <xf numFmtId="2" fontId="21" fillId="37" borderId="37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18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21" xfId="0" applyNumberFormat="1" applyFont="1" applyFill="1" applyBorder="1" applyAlignment="1" applyProtection="1">
      <alignment horizontal="center" vertical="top"/>
      <protection hidden="1"/>
    </xf>
    <xf numFmtId="49" fontId="20" fillId="38" borderId="17" xfId="0" applyNumberFormat="1" applyFont="1" applyFill="1" applyBorder="1" applyAlignment="1" applyProtection="1">
      <alignment horizontal="center" vertical="top" wrapText="1"/>
      <protection hidden="1"/>
    </xf>
    <xf numFmtId="2" fontId="20" fillId="37" borderId="17" xfId="0" applyNumberFormat="1" applyFont="1" applyFill="1" applyBorder="1" applyAlignment="1" applyProtection="1">
      <alignment horizontal="center" vertical="top" wrapText="1"/>
      <protection hidden="1"/>
    </xf>
    <xf numFmtId="172" fontId="21" fillId="38" borderId="22" xfId="0" applyNumberFormat="1" applyFont="1" applyFill="1" applyBorder="1" applyAlignment="1" applyProtection="1">
      <alignment horizontal="center" vertical="top" wrapText="1"/>
      <protection hidden="1"/>
    </xf>
    <xf numFmtId="2" fontId="21" fillId="37" borderId="29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22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65" xfId="0" applyNumberFormat="1" applyFont="1" applyFill="1" applyBorder="1" applyAlignment="1" applyProtection="1">
      <alignment horizontal="left" vertical="top" wrapText="1"/>
      <protection hidden="1"/>
    </xf>
    <xf numFmtId="49" fontId="20" fillId="0" borderId="21" xfId="0" applyNumberFormat="1" applyFont="1" applyFill="1" applyBorder="1" applyAlignment="1" applyProtection="1">
      <alignment horizontal="left" vertical="top" wrapText="1"/>
      <protection hidden="1"/>
    </xf>
    <xf numFmtId="49" fontId="20" fillId="0" borderId="21" xfId="0" applyNumberFormat="1" applyFont="1" applyFill="1" applyBorder="1" applyAlignment="1" applyProtection="1">
      <alignment horizontal="center" vertical="top" wrapText="1"/>
      <protection hidden="1"/>
    </xf>
    <xf numFmtId="173" fontId="21" fillId="0" borderId="22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46" xfId="0" applyNumberFormat="1" applyFont="1" applyFill="1" applyBorder="1" applyAlignment="1" applyProtection="1">
      <alignment horizontal="justify" vertical="top" wrapText="1"/>
      <protection hidden="1"/>
    </xf>
    <xf numFmtId="172" fontId="20" fillId="0" borderId="17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46" xfId="0" applyNumberFormat="1" applyFont="1" applyFill="1" applyBorder="1" applyAlignment="1" applyProtection="1">
      <alignment vertical="top" wrapText="1"/>
      <protection hidden="1"/>
    </xf>
    <xf numFmtId="49" fontId="21" fillId="0" borderId="46" xfId="0" applyNumberFormat="1" applyFont="1" applyFill="1" applyBorder="1" applyAlignment="1">
      <alignment vertical="top"/>
    </xf>
    <xf numFmtId="172" fontId="21" fillId="0" borderId="10" xfId="0" applyNumberFormat="1" applyFont="1" applyFill="1" applyBorder="1" applyAlignment="1" applyProtection="1">
      <alignment horizontal="center" vertical="top"/>
      <protection hidden="1"/>
    </xf>
    <xf numFmtId="173" fontId="21" fillId="0" borderId="15" xfId="0" applyNumberFormat="1" applyFont="1" applyFill="1" applyBorder="1" applyAlignment="1" applyProtection="1">
      <alignment horizontal="center" vertical="top"/>
      <protection hidden="1"/>
    </xf>
    <xf numFmtId="49" fontId="21" fillId="38" borderId="10" xfId="0" applyNumberFormat="1" applyFont="1" applyFill="1" applyBorder="1" applyAlignment="1" applyProtection="1">
      <alignment horizontal="center" vertical="top" wrapText="1"/>
      <protection hidden="1"/>
    </xf>
    <xf numFmtId="49" fontId="20" fillId="38" borderId="10" xfId="0" applyNumberFormat="1" applyFont="1" applyFill="1" applyBorder="1" applyAlignment="1" applyProtection="1">
      <alignment horizontal="left" vertical="top" wrapText="1"/>
      <protection hidden="1"/>
    </xf>
    <xf numFmtId="172" fontId="20" fillId="0" borderId="10" xfId="0" applyNumberFormat="1" applyFont="1" applyFill="1" applyBorder="1" applyAlignment="1" applyProtection="1">
      <alignment horizontal="center" vertical="top"/>
      <protection hidden="1"/>
    </xf>
    <xf numFmtId="172" fontId="20" fillId="0" borderId="15" xfId="0" applyNumberFormat="1" applyFont="1" applyFill="1" applyBorder="1" applyAlignment="1" applyProtection="1">
      <alignment horizontal="center" vertical="top"/>
      <protection hidden="1"/>
    </xf>
    <xf numFmtId="173" fontId="20" fillId="0" borderId="15" xfId="0" applyNumberFormat="1" applyFont="1" applyFill="1" applyBorder="1" applyAlignment="1" applyProtection="1">
      <alignment horizontal="center" vertical="top"/>
      <protection hidden="1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172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9" fontId="20" fillId="0" borderId="46" xfId="0" applyNumberFormat="1" applyFont="1" applyFill="1" applyBorder="1" applyAlignment="1" applyProtection="1">
      <alignment vertical="top"/>
      <protection hidden="1"/>
    </xf>
    <xf numFmtId="2" fontId="20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46" xfId="0" applyNumberFormat="1" applyFont="1" applyFill="1" applyBorder="1" applyAlignment="1" applyProtection="1">
      <alignment vertical="top"/>
      <protection hidden="1"/>
    </xf>
    <xf numFmtId="2" fontId="20" fillId="0" borderId="10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34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24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53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43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5" xfId="0" applyFont="1" applyFill="1" applyBorder="1" applyAlignment="1">
      <alignment horizontal="center" vertical="top" wrapText="1"/>
    </xf>
    <xf numFmtId="173" fontId="20" fillId="0" borderId="15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4" xfId="0" applyNumberFormat="1" applyFont="1" applyFill="1" applyBorder="1" applyAlignment="1" applyProtection="1">
      <alignment vertical="top" wrapText="1"/>
      <protection hidden="1"/>
    </xf>
    <xf numFmtId="49" fontId="21" fillId="0" borderId="14" xfId="0" applyNumberFormat="1" applyFont="1" applyFill="1" applyBorder="1" applyAlignment="1" applyProtection="1">
      <alignment horizontal="left" vertical="top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61" xfId="0" applyNumberFormat="1" applyFont="1" applyFill="1" applyBorder="1" applyAlignment="1" applyProtection="1">
      <alignment vertical="top" wrapText="1"/>
      <protection hidden="1"/>
    </xf>
    <xf numFmtId="49" fontId="20" fillId="0" borderId="19" xfId="0" applyNumberFormat="1" applyFont="1" applyFill="1" applyBorder="1" applyAlignment="1" applyProtection="1">
      <alignment horizontal="left" vertical="top" wrapText="1"/>
      <protection hidden="1"/>
    </xf>
    <xf numFmtId="49" fontId="20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18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25" xfId="0" applyNumberFormat="1" applyFont="1" applyFill="1" applyBorder="1" applyAlignment="1" applyProtection="1">
      <alignment vertical="top" wrapText="1"/>
      <protection hidden="1"/>
    </xf>
    <xf numFmtId="0" fontId="20" fillId="0" borderId="17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9" xfId="0" applyNumberFormat="1" applyFont="1" applyFill="1" applyBorder="1" applyAlignment="1" applyProtection="1">
      <alignment horizontal="justify" vertical="top" wrapText="1"/>
      <protection hidden="1"/>
    </xf>
    <xf numFmtId="49" fontId="20" fillId="0" borderId="37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50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37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19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19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7" xfId="0" applyNumberFormat="1" applyFont="1" applyFill="1" applyBorder="1" applyAlignment="1" applyProtection="1">
      <alignment vertical="top" wrapText="1"/>
      <protection hidden="1"/>
    </xf>
    <xf numFmtId="12" fontId="20" fillId="0" borderId="17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17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17" xfId="0" applyNumberFormat="1" applyFont="1" applyFill="1" applyBorder="1" applyAlignment="1" applyProtection="1">
      <alignment horizontal="center" vertical="top" wrapText="1"/>
      <protection hidden="1"/>
    </xf>
    <xf numFmtId="12" fontId="21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7" xfId="0" applyNumberFormat="1" applyFont="1" applyFill="1" applyBorder="1" applyAlignment="1" applyProtection="1">
      <alignment horizontal="justify" vertical="top" wrapText="1"/>
      <protection hidden="1"/>
    </xf>
    <xf numFmtId="49" fontId="21" fillId="0" borderId="21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21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0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29" xfId="0" applyNumberFormat="1" applyFont="1" applyFill="1" applyBorder="1" applyAlignment="1" applyProtection="1">
      <alignment horizontal="center" vertical="top" wrapText="1"/>
      <protection hidden="1"/>
    </xf>
    <xf numFmtId="12" fontId="20" fillId="0" borderId="19" xfId="0" applyNumberFormat="1" applyFont="1" applyFill="1" applyBorder="1" applyAlignment="1" applyProtection="1">
      <alignment horizontal="justify" vertical="top" wrapText="1"/>
      <protection hidden="1"/>
    </xf>
    <xf numFmtId="49" fontId="20" fillId="0" borderId="58" xfId="0" applyNumberFormat="1" applyFont="1" applyFill="1" applyBorder="1" applyAlignment="1" applyProtection="1">
      <alignment vertical="top" wrapText="1"/>
      <protection hidden="1"/>
    </xf>
    <xf numFmtId="0" fontId="20" fillId="0" borderId="54" xfId="0" applyFont="1" applyFill="1" applyBorder="1" applyAlignment="1">
      <alignment horizontal="left" vertical="top" wrapText="1"/>
    </xf>
    <xf numFmtId="49" fontId="20" fillId="0" borderId="54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55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55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59" xfId="0" applyNumberFormat="1" applyFont="1" applyFill="1" applyBorder="1" applyAlignment="1" applyProtection="1">
      <alignment vertical="top" wrapText="1"/>
      <protection hidden="1"/>
    </xf>
    <xf numFmtId="12" fontId="21" fillId="0" borderId="49" xfId="0" applyNumberFormat="1" applyFont="1" applyFill="1" applyBorder="1" applyAlignment="1" applyProtection="1">
      <alignment horizontal="justify" vertical="top" wrapText="1"/>
      <protection hidden="1"/>
    </xf>
    <xf numFmtId="49" fontId="21" fillId="0" borderId="49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49" xfId="0" applyNumberFormat="1" applyFont="1" applyFill="1" applyBorder="1" applyAlignment="1" applyProtection="1">
      <alignment horizontal="center" vertical="top" wrapText="1"/>
      <protection hidden="1"/>
    </xf>
    <xf numFmtId="172" fontId="21" fillId="0" borderId="56" xfId="0" applyNumberFormat="1" applyFont="1" applyFill="1" applyBorder="1" applyAlignment="1" applyProtection="1">
      <alignment horizontal="center" vertical="top" wrapText="1"/>
      <protection hidden="1"/>
    </xf>
    <xf numFmtId="173" fontId="21" fillId="0" borderId="56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19" xfId="54" applyNumberFormat="1" applyFont="1" applyFill="1" applyBorder="1" applyAlignment="1" applyProtection="1">
      <alignment horizontal="justify" vertical="top" wrapText="1"/>
      <protection/>
    </xf>
    <xf numFmtId="49" fontId="20" fillId="0" borderId="19" xfId="54" applyNumberFormat="1" applyFont="1" applyFill="1" applyBorder="1" applyAlignment="1" applyProtection="1">
      <alignment horizontal="center" vertical="top" wrapText="1"/>
      <protection/>
    </xf>
    <xf numFmtId="49" fontId="20" fillId="0" borderId="19" xfId="54" applyNumberFormat="1" applyFont="1" applyFill="1" applyBorder="1" applyAlignment="1" applyProtection="1">
      <alignment horizontal="center" vertical="top"/>
      <protection/>
    </xf>
    <xf numFmtId="49" fontId="21" fillId="0" borderId="25" xfId="0" applyNumberFormat="1" applyFont="1" applyFill="1" applyBorder="1" applyAlignment="1" applyProtection="1">
      <alignment vertical="top" wrapText="1"/>
      <protection hidden="1"/>
    </xf>
    <xf numFmtId="49" fontId="21" fillId="0" borderId="17" xfId="54" applyNumberFormat="1" applyFont="1" applyFill="1" applyBorder="1" applyAlignment="1" applyProtection="1">
      <alignment horizontal="justify" vertical="top" wrapText="1"/>
      <protection/>
    </xf>
    <xf numFmtId="49" fontId="21" fillId="0" borderId="21" xfId="54" applyNumberFormat="1" applyFont="1" applyFill="1" applyBorder="1" applyAlignment="1" applyProtection="1">
      <alignment horizontal="center" vertical="top" wrapText="1"/>
      <protection/>
    </xf>
    <xf numFmtId="49" fontId="21" fillId="0" borderId="21" xfId="54" applyNumberFormat="1" applyFont="1" applyFill="1" applyBorder="1" applyAlignment="1" applyProtection="1">
      <alignment horizontal="center" vertical="top"/>
      <protection/>
    </xf>
    <xf numFmtId="49" fontId="21" fillId="0" borderId="17" xfId="54" applyNumberFormat="1" applyFont="1" applyFill="1" applyBorder="1" applyAlignment="1" applyProtection="1">
      <alignment horizontal="center" vertical="top"/>
      <protection/>
    </xf>
    <xf numFmtId="49" fontId="21" fillId="0" borderId="14" xfId="54" applyNumberFormat="1" applyFont="1" applyFill="1" applyBorder="1" applyAlignment="1" applyProtection="1">
      <alignment horizontal="center" vertical="top" wrapText="1"/>
      <protection/>
    </xf>
    <xf numFmtId="49" fontId="21" fillId="0" borderId="14" xfId="54" applyNumberFormat="1" applyFont="1" applyFill="1" applyBorder="1" applyAlignment="1" applyProtection="1">
      <alignment horizontal="center" vertical="top"/>
      <protection/>
    </xf>
    <xf numFmtId="49" fontId="21" fillId="0" borderId="19" xfId="54" applyNumberFormat="1" applyFont="1" applyFill="1" applyBorder="1" applyAlignment="1" applyProtection="1">
      <alignment horizontal="center" vertical="top"/>
      <protection/>
    </xf>
    <xf numFmtId="49" fontId="21" fillId="0" borderId="17" xfId="54" applyNumberFormat="1" applyFont="1" applyFill="1" applyBorder="1" applyAlignment="1" applyProtection="1">
      <alignment horizontal="center" vertical="top" wrapText="1"/>
      <protection/>
    </xf>
    <xf numFmtId="173" fontId="21" fillId="0" borderId="16" xfId="0" applyNumberFormat="1" applyFont="1" applyFill="1" applyBorder="1" applyAlignment="1" applyProtection="1">
      <alignment horizontal="center" vertical="top" wrapText="1"/>
      <protection hidden="1"/>
    </xf>
    <xf numFmtId="49" fontId="20" fillId="38" borderId="61" xfId="0" applyNumberFormat="1" applyFont="1" applyFill="1" applyBorder="1" applyAlignment="1" applyProtection="1">
      <alignment vertical="top" wrapText="1"/>
      <protection hidden="1"/>
    </xf>
    <xf numFmtId="0" fontId="20" fillId="0" borderId="19" xfId="0" applyFont="1" applyFill="1" applyBorder="1" applyAlignment="1">
      <alignment horizontal="left" vertical="top" wrapText="1"/>
    </xf>
    <xf numFmtId="49" fontId="21" fillId="0" borderId="25" xfId="54" applyNumberFormat="1" applyFont="1" applyFill="1" applyBorder="1" applyAlignment="1" applyProtection="1">
      <alignment horizontal="left" vertical="top"/>
      <protection/>
    </xf>
    <xf numFmtId="49" fontId="21" fillId="0" borderId="17" xfId="54" applyNumberFormat="1" applyFont="1" applyFill="1" applyBorder="1" applyAlignment="1" applyProtection="1">
      <alignment horizontal="left" vertical="top"/>
      <protection/>
    </xf>
    <xf numFmtId="172" fontId="21" fillId="0" borderId="16" xfId="54" applyNumberFormat="1" applyFont="1" applyFill="1" applyBorder="1" applyAlignment="1" applyProtection="1">
      <alignment horizontal="center" vertical="top"/>
      <protection/>
    </xf>
    <xf numFmtId="173" fontId="21" fillId="0" borderId="16" xfId="54" applyNumberFormat="1" applyFont="1" applyFill="1" applyBorder="1" applyAlignment="1" applyProtection="1">
      <alignment horizontal="center" vertical="top"/>
      <protection/>
    </xf>
    <xf numFmtId="49" fontId="21" fillId="0" borderId="46" xfId="54" applyNumberFormat="1" applyFont="1" applyFill="1" applyBorder="1" applyAlignment="1" applyProtection="1">
      <alignment vertical="top"/>
      <protection/>
    </xf>
    <xf numFmtId="49" fontId="21" fillId="0" borderId="10" xfId="54" applyNumberFormat="1" applyFont="1" applyFill="1" applyBorder="1" applyAlignment="1" applyProtection="1">
      <alignment horizontal="center" vertical="top"/>
      <protection/>
    </xf>
    <xf numFmtId="172" fontId="21" fillId="0" borderId="15" xfId="54" applyNumberFormat="1" applyFont="1" applyFill="1" applyBorder="1" applyAlignment="1" applyProtection="1">
      <alignment horizontal="center" vertical="top"/>
      <protection/>
    </xf>
    <xf numFmtId="49" fontId="21" fillId="0" borderId="10" xfId="54" applyNumberFormat="1" applyFont="1" applyFill="1" applyBorder="1" applyAlignment="1" applyProtection="1">
      <alignment horizontal="center" vertical="top" wrapText="1"/>
      <protection/>
    </xf>
    <xf numFmtId="173" fontId="21" fillId="0" borderId="15" xfId="54" applyNumberFormat="1" applyFont="1" applyFill="1" applyBorder="1" applyAlignment="1" applyProtection="1">
      <alignment horizontal="center" vertical="top"/>
      <protection/>
    </xf>
    <xf numFmtId="12" fontId="21" fillId="0" borderId="10" xfId="54" applyNumberFormat="1" applyFont="1" applyFill="1" applyBorder="1" applyAlignment="1" applyProtection="1">
      <alignment horizontal="justify" vertical="top" wrapText="1"/>
      <protection/>
    </xf>
    <xf numFmtId="12" fontId="21" fillId="0" borderId="10" xfId="54" applyNumberFormat="1" applyFont="1" applyFill="1" applyBorder="1" applyAlignment="1" applyProtection="1">
      <alignment horizontal="center" vertical="top" wrapText="1"/>
      <protection/>
    </xf>
    <xf numFmtId="49" fontId="21" fillId="0" borderId="57" xfId="54" applyNumberFormat="1" applyFont="1" applyFill="1" applyBorder="1" applyAlignment="1" applyProtection="1">
      <alignment vertical="top"/>
      <protection/>
    </xf>
    <xf numFmtId="12" fontId="21" fillId="0" borderId="14" xfId="54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vertical="top"/>
      <protection/>
    </xf>
    <xf numFmtId="172" fontId="21" fillId="0" borderId="20" xfId="54" applyNumberFormat="1" applyFont="1" applyFill="1" applyBorder="1" applyAlignment="1" applyProtection="1">
      <alignment horizontal="center" vertical="top"/>
      <protection/>
    </xf>
    <xf numFmtId="49" fontId="21" fillId="0" borderId="25" xfId="54" applyNumberFormat="1" applyFont="1" applyFill="1" applyBorder="1" applyAlignment="1" applyProtection="1">
      <alignment vertical="top"/>
      <protection/>
    </xf>
    <xf numFmtId="172" fontId="21" fillId="0" borderId="38" xfId="56" applyNumberFormat="1" applyFont="1" applyFill="1" applyBorder="1" applyAlignment="1" applyProtection="1">
      <alignment horizontal="center" vertical="top"/>
      <protection/>
    </xf>
    <xf numFmtId="172" fontId="21" fillId="0" borderId="36" xfId="56" applyNumberFormat="1" applyFont="1" applyFill="1" applyBorder="1" applyAlignment="1" applyProtection="1">
      <alignment horizontal="center" vertical="top"/>
      <protection/>
    </xf>
    <xf numFmtId="49" fontId="21" fillId="0" borderId="65" xfId="54" applyNumberFormat="1" applyFont="1" applyFill="1" applyBorder="1" applyAlignment="1" applyProtection="1">
      <alignment vertical="top"/>
      <protection/>
    </xf>
    <xf numFmtId="49" fontId="21" fillId="0" borderId="14" xfId="54" applyNumberFormat="1" applyFont="1" applyFill="1" applyBorder="1" applyAlignment="1" applyProtection="1">
      <alignment horizontal="justify" vertical="top" wrapText="1"/>
      <protection/>
    </xf>
    <xf numFmtId="173" fontId="21" fillId="0" borderId="20" xfId="54" applyNumberFormat="1" applyFont="1" applyFill="1" applyBorder="1" applyAlignment="1" applyProtection="1">
      <alignment horizontal="center" vertical="top"/>
      <protection/>
    </xf>
    <xf numFmtId="172" fontId="21" fillId="0" borderId="10" xfId="56" applyNumberFormat="1" applyFont="1" applyFill="1" applyBorder="1" applyAlignment="1" applyProtection="1">
      <alignment horizontal="center" vertical="top"/>
      <protection/>
    </xf>
    <xf numFmtId="172" fontId="21" fillId="0" borderId="16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66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72" fontId="2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12" fontId="21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57" xfId="0" applyNumberFormat="1" applyFont="1" applyFill="1" applyBorder="1" applyAlignment="1" applyProtection="1">
      <alignment vertical="top" wrapText="1"/>
      <protection hidden="1"/>
    </xf>
    <xf numFmtId="49" fontId="20" fillId="0" borderId="14" xfId="0" applyNumberFormat="1" applyFont="1" applyFill="1" applyBorder="1" applyAlignment="1" applyProtection="1">
      <alignment horizontal="justify" vertical="top" wrapText="1"/>
      <protection hidden="1"/>
    </xf>
    <xf numFmtId="172" fontId="20" fillId="0" borderId="20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20" xfId="0" applyNumberFormat="1" applyFont="1" applyFill="1" applyBorder="1" applyAlignment="1" applyProtection="1">
      <alignment horizontal="center" vertical="top" wrapText="1"/>
      <protection hidden="1"/>
    </xf>
    <xf numFmtId="49" fontId="20" fillId="38" borderId="57" xfId="0" applyNumberFormat="1" applyFont="1" applyFill="1" applyBorder="1" applyAlignment="1" applyProtection="1">
      <alignment vertical="top" wrapText="1"/>
      <protection hidden="1"/>
    </xf>
    <xf numFmtId="0" fontId="20" fillId="38" borderId="0" xfId="0" applyNumberFormat="1" applyFont="1" applyFill="1" applyBorder="1" applyAlignment="1" applyProtection="1">
      <alignment horizontal="center" vertical="top"/>
      <protection/>
    </xf>
    <xf numFmtId="172" fontId="20" fillId="38" borderId="0" xfId="0" applyNumberFormat="1" applyFont="1" applyFill="1" applyBorder="1" applyAlignment="1" applyProtection="1">
      <alignment horizontal="center" vertical="top"/>
      <protection/>
    </xf>
    <xf numFmtId="0" fontId="20" fillId="38" borderId="0" xfId="0" applyNumberFormat="1" applyFont="1" applyFill="1" applyBorder="1" applyAlignment="1" applyProtection="1">
      <alignment vertical="top"/>
      <protection/>
    </xf>
    <xf numFmtId="172" fontId="20" fillId="38" borderId="20" xfId="0" applyNumberFormat="1" applyFont="1" applyFill="1" applyBorder="1" applyAlignment="1" applyProtection="1">
      <alignment horizontal="center" vertical="top" wrapText="1"/>
      <protection hidden="1"/>
    </xf>
    <xf numFmtId="172" fontId="20" fillId="38" borderId="43" xfId="0" applyNumberFormat="1" applyFont="1" applyFill="1" applyBorder="1" applyAlignment="1" applyProtection="1">
      <alignment horizontal="center" vertical="top" wrapText="1"/>
      <protection hidden="1"/>
    </xf>
    <xf numFmtId="49" fontId="21" fillId="38" borderId="46" xfId="0" applyNumberFormat="1" applyFont="1" applyFill="1" applyBorder="1" applyAlignment="1">
      <alignment vertical="top"/>
    </xf>
    <xf numFmtId="49" fontId="21" fillId="38" borderId="10" xfId="0" applyNumberFormat="1" applyFont="1" applyFill="1" applyBorder="1" applyAlignment="1" applyProtection="1">
      <alignment horizontal="center" vertical="top"/>
      <protection hidden="1"/>
    </xf>
    <xf numFmtId="172" fontId="21" fillId="38" borderId="10" xfId="0" applyNumberFormat="1" applyFont="1" applyFill="1" applyBorder="1" applyAlignment="1" applyProtection="1">
      <alignment horizontal="center" vertical="top"/>
      <protection hidden="1"/>
    </xf>
    <xf numFmtId="49" fontId="21" fillId="38" borderId="10" xfId="54" applyNumberFormat="1" applyFont="1" applyFill="1" applyBorder="1" applyAlignment="1" applyProtection="1">
      <alignment horizontal="justify" vertical="top" wrapText="1"/>
      <protection/>
    </xf>
    <xf numFmtId="49" fontId="21" fillId="38" borderId="10" xfId="0" applyNumberFormat="1" applyFont="1" applyFill="1" applyBorder="1" applyAlignment="1">
      <alignment vertical="top"/>
    </xf>
    <xf numFmtId="49" fontId="21" fillId="38" borderId="46" xfId="0" applyNumberFormat="1" applyFont="1" applyFill="1" applyBorder="1" applyAlignment="1" applyProtection="1">
      <alignment horizontal="left" vertical="top" wrapText="1"/>
      <protection hidden="1"/>
    </xf>
    <xf numFmtId="49" fontId="21" fillId="38" borderId="28" xfId="0" applyNumberFormat="1" applyFont="1" applyFill="1" applyBorder="1" applyAlignment="1" applyProtection="1">
      <alignment horizontal="left" vertical="top" wrapText="1"/>
      <protection hidden="1"/>
    </xf>
    <xf numFmtId="49" fontId="21" fillId="38" borderId="13" xfId="0" applyNumberFormat="1" applyFont="1" applyFill="1" applyBorder="1" applyAlignment="1" applyProtection="1">
      <alignment horizontal="center" vertical="top" wrapText="1"/>
      <protection hidden="1"/>
    </xf>
    <xf numFmtId="49" fontId="21" fillId="38" borderId="51" xfId="0" applyNumberFormat="1" applyFont="1" applyFill="1" applyBorder="1" applyAlignment="1" applyProtection="1">
      <alignment horizontal="center" vertical="top" wrapText="1"/>
      <protection hidden="1"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172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3" xfId="0" applyNumberFormat="1" applyFont="1" applyFill="1" applyBorder="1" applyAlignment="1" applyProtection="1">
      <alignment vertical="top"/>
      <protection/>
    </xf>
    <xf numFmtId="172" fontId="21" fillId="0" borderId="13" xfId="0" applyNumberFormat="1" applyFont="1" applyFill="1" applyBorder="1" applyAlignment="1" applyProtection="1">
      <alignment horizontal="center" vertical="top" wrapText="1"/>
      <protection hidden="1"/>
    </xf>
    <xf numFmtId="173" fontId="21" fillId="0" borderId="12" xfId="0" applyNumberFormat="1" applyFont="1" applyFill="1" applyBorder="1" applyAlignment="1" applyProtection="1">
      <alignment horizontal="center" vertical="top" wrapText="1"/>
      <protection hidden="1"/>
    </xf>
    <xf numFmtId="49" fontId="20" fillId="0" borderId="67" xfId="0" applyNumberFormat="1" applyFont="1" applyFill="1" applyBorder="1" applyAlignment="1" applyProtection="1">
      <alignment vertical="top" wrapText="1"/>
      <protection hidden="1"/>
    </xf>
    <xf numFmtId="49" fontId="20" fillId="0" borderId="51" xfId="0" applyNumberFormat="1" applyFont="1" applyFill="1" applyBorder="1" applyAlignment="1" applyProtection="1">
      <alignment horizontal="left" vertical="top" wrapText="1"/>
      <protection hidden="1"/>
    </xf>
    <xf numFmtId="49" fontId="20" fillId="0" borderId="51" xfId="0" applyNumberFormat="1" applyFont="1" applyFill="1" applyBorder="1" applyAlignment="1" applyProtection="1">
      <alignment horizontal="center" vertical="top" wrapText="1"/>
      <protection hidden="1"/>
    </xf>
    <xf numFmtId="172" fontId="20" fillId="0" borderId="52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52" xfId="0" applyNumberFormat="1" applyFont="1" applyFill="1" applyBorder="1" applyAlignment="1" applyProtection="1">
      <alignment horizontal="center" vertical="top" wrapText="1"/>
      <protection hidden="1"/>
    </xf>
    <xf numFmtId="49" fontId="21" fillId="0" borderId="17" xfId="0" applyNumberFormat="1" applyFont="1" applyFill="1" applyBorder="1" applyAlignment="1" applyProtection="1">
      <alignment horizontal="left" vertical="top" wrapText="1"/>
      <protection hidden="1"/>
    </xf>
    <xf numFmtId="49" fontId="20" fillId="0" borderId="10" xfId="54" applyNumberFormat="1" applyFont="1" applyFill="1" applyBorder="1" applyAlignment="1" applyProtection="1">
      <alignment horizontal="justify" vertical="top"/>
      <protection/>
    </xf>
    <xf numFmtId="172" fontId="21" fillId="0" borderId="15" xfId="56" applyNumberFormat="1" applyFont="1" applyFill="1" applyBorder="1" applyAlignment="1" applyProtection="1">
      <alignment horizontal="center" vertical="top"/>
      <protection/>
    </xf>
    <xf numFmtId="173" fontId="20" fillId="0" borderId="15" xfId="56" applyNumberFormat="1" applyFont="1" applyFill="1" applyBorder="1" applyAlignment="1" applyProtection="1">
      <alignment horizontal="center" vertical="top"/>
      <protection/>
    </xf>
    <xf numFmtId="49" fontId="20" fillId="0" borderId="54" xfId="0" applyNumberFormat="1" applyFont="1" applyFill="1" applyBorder="1" applyAlignment="1" applyProtection="1">
      <alignment horizontal="left" vertical="top" wrapText="1"/>
      <protection hidden="1"/>
    </xf>
    <xf numFmtId="0" fontId="20" fillId="0" borderId="59" xfId="0" applyFont="1" applyFill="1" applyBorder="1" applyAlignment="1">
      <alignment horizontal="left" vertical="top" wrapText="1"/>
    </xf>
    <xf numFmtId="49" fontId="20" fillId="0" borderId="49" xfId="0" applyNumberFormat="1" applyFont="1" applyFill="1" applyBorder="1" applyAlignment="1" applyProtection="1">
      <alignment horizontal="center" vertical="top" wrapText="1"/>
      <protection hidden="1"/>
    </xf>
    <xf numFmtId="0" fontId="20" fillId="0" borderId="60" xfId="0" applyNumberFormat="1" applyFont="1" applyFill="1" applyBorder="1" applyAlignment="1" applyProtection="1">
      <alignment horizontal="center" vertical="top"/>
      <protection/>
    </xf>
    <xf numFmtId="172" fontId="20" fillId="0" borderId="60" xfId="0" applyNumberFormat="1" applyFont="1" applyFill="1" applyBorder="1" applyAlignment="1" applyProtection="1">
      <alignment horizontal="center" vertical="top"/>
      <protection/>
    </xf>
    <xf numFmtId="0" fontId="20" fillId="0" borderId="60" xfId="0" applyNumberFormat="1" applyFont="1" applyFill="1" applyBorder="1" applyAlignment="1" applyProtection="1">
      <alignment vertical="top"/>
      <protection/>
    </xf>
    <xf numFmtId="172" fontId="20" fillId="0" borderId="56" xfId="0" applyNumberFormat="1" applyFont="1" applyFill="1" applyBorder="1" applyAlignment="1" applyProtection="1">
      <alignment horizontal="center" vertical="top" wrapText="1"/>
      <protection hidden="1"/>
    </xf>
    <xf numFmtId="173" fontId="20" fillId="0" borderId="56" xfId="0" applyNumberFormat="1" applyFont="1" applyFill="1" applyBorder="1" applyAlignment="1" applyProtection="1">
      <alignment horizontal="center" vertical="top" wrapText="1"/>
      <protection hidden="1"/>
    </xf>
    <xf numFmtId="49" fontId="18" fillId="0" borderId="61" xfId="0" applyNumberFormat="1" applyFont="1" applyFill="1" applyBorder="1" applyAlignment="1" applyProtection="1">
      <alignment horizontal="center" vertical="top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3" fontId="24" fillId="0" borderId="10" xfId="56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56" applyNumberFormat="1" applyFont="1" applyFill="1" applyBorder="1" applyAlignment="1" applyProtection="1">
      <alignment horizontal="center" vertical="top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0\&#1087;&#1088;&#1086;&#1077;&#1082;&#1090;%20%202012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0\&#1073;&#1091;&#1093;&#1075;&#1072;&#1083;&#1090;&#1077;&#1088;&#1080;&#1103;\&#1055;&#1088;&#1086;&#1077;&#1082;&#1090;%202020%20&#1075;&#1086;&#1076;\&#1057;&#1086;&#1075;&#1083;&#1072;&#1096;&#1077;&#1085;&#1080;&#1077;%20&#1089;%20&#1050;&#1060;%202020\&#1048;&#1079;&#1084;&#1077;&#1085;&#1077;&#1085;&#1080;&#1103;%20&#1089;%2004.03.2020\&#1073;&#1102;&#1076;&#1078;&#1077;&#1090;%20&#1085;&#1072;%202020%20&#1080;&#1079;&#1084;%20&#1085;&#1072;%2004.03.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0\&#1073;&#1091;&#1093;&#1075;&#1072;&#1083;&#1090;&#1077;&#1088;&#1080;&#1103;\&#1055;&#1088;&#1086;&#1077;&#1082;&#1090;%202020%20&#1075;&#1086;&#1076;\&#1057;&#1086;&#1075;&#1083;&#1072;&#1096;&#1077;&#1085;&#1080;&#1077;%20&#1089;%20&#1050;&#1060;%202020\&#1056;&#1077;&#1096;&#1077;&#1085;&#1080;&#1077;%20&#1057;&#1086;&#1074;&#1077;&#1090;&#1072;%20&#1086;&#1090;%2007.10.2020\&#1073;&#1102;&#1076;&#1078;&#1077;&#1090;%20&#1085;&#1072;%2007.10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4">
        <row r="79">
          <cell r="I79">
            <v>20086.600000000002</v>
          </cell>
          <cell r="J79">
            <v>30141.100000000002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3">
        <row r="10">
          <cell r="H10">
            <v>753.2</v>
          </cell>
        </row>
        <row r="22">
          <cell r="H22">
            <v>8080.000000000001</v>
          </cell>
        </row>
        <row r="37">
          <cell r="H37">
            <v>12.7</v>
          </cell>
        </row>
        <row r="48">
          <cell r="H48">
            <v>60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</v>
          </cell>
        </row>
        <row r="96">
          <cell r="H96">
            <v>228.1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4">
        <row r="32">
          <cell r="N32">
            <v>0</v>
          </cell>
        </row>
        <row r="34">
          <cell r="N34">
            <v>0</v>
          </cell>
        </row>
        <row r="64">
          <cell r="N64">
            <v>20</v>
          </cell>
        </row>
        <row r="83">
          <cell r="N83">
            <v>12</v>
          </cell>
        </row>
        <row r="89">
          <cell r="N89">
            <v>6</v>
          </cell>
        </row>
        <row r="135">
          <cell r="N135">
            <v>0</v>
          </cell>
        </row>
        <row r="142">
          <cell r="N142">
            <v>0</v>
          </cell>
        </row>
        <row r="186">
          <cell r="N186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0"/>
      <sheetName val="Прилож 2"/>
      <sheetName val="Функц.2020 (прил 3) "/>
      <sheetName val="Вед. 2020 (прил 4)"/>
      <sheetName val="приложение 5"/>
      <sheetName val="приложение 6"/>
      <sheetName val="приложение 7"/>
    </sheetNames>
    <sheetDataSet>
      <sheetData sheetId="4">
        <row r="57">
          <cell r="L57">
            <v>20</v>
          </cell>
        </row>
      </sheetData>
      <sheetData sheetId="5">
        <row r="218">
          <cell r="N2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zoomScalePageLayoutView="0" workbookViewId="0" topLeftCell="A1">
      <selection activeCell="C17" sqref="C17"/>
    </sheetView>
  </sheetViews>
  <sheetFormatPr defaultColWidth="8.7109375" defaultRowHeight="12.75"/>
  <cols>
    <col min="1" max="1" width="17.00390625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15625" style="14" bestFit="1" customWidth="1"/>
    <col min="7" max="7" width="8.57421875" style="13" customWidth="1"/>
    <col min="8" max="8" width="15.7109375" style="12" customWidth="1"/>
    <col min="9" max="9" width="13.140625" style="11" bestFit="1" customWidth="1"/>
    <col min="10" max="10" width="13.57421875" style="11" bestFit="1" customWidth="1"/>
    <col min="11" max="16384" width="8.7109375" style="11" customWidth="1"/>
  </cols>
  <sheetData>
    <row r="1" spans="1:8" ht="12.75">
      <c r="A1" s="30" t="s">
        <v>141</v>
      </c>
      <c r="F1" s="559"/>
      <c r="G1" s="560"/>
      <c r="H1" s="560"/>
    </row>
    <row r="2" spans="1:8" ht="13.5" thickBot="1">
      <c r="A2" s="30"/>
      <c r="F2" s="74"/>
      <c r="G2" s="29"/>
      <c r="H2" s="29"/>
    </row>
    <row r="3" spans="1:8" ht="13.5" thickBot="1">
      <c r="A3" s="71" t="s">
        <v>131</v>
      </c>
      <c r="B3" s="71" t="s">
        <v>130</v>
      </c>
      <c r="C3" s="71" t="s">
        <v>129</v>
      </c>
      <c r="D3" s="73" t="s">
        <v>128</v>
      </c>
      <c r="E3" s="72" t="s">
        <v>127</v>
      </c>
      <c r="F3" s="72" t="s">
        <v>126</v>
      </c>
      <c r="G3" s="71" t="s">
        <v>125</v>
      </c>
      <c r="H3" s="70" t="s">
        <v>97</v>
      </c>
    </row>
    <row r="4" spans="1:9" ht="12.75">
      <c r="A4" s="69" t="s">
        <v>133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 ht="12.75">
      <c r="A5" s="68" t="s">
        <v>133</v>
      </c>
      <c r="B5" s="55"/>
      <c r="C5" s="52"/>
      <c r="D5" s="54">
        <v>0.262</v>
      </c>
      <c r="E5" s="33"/>
      <c r="F5" s="33"/>
      <c r="G5" s="20">
        <v>12</v>
      </c>
      <c r="H5" s="53">
        <f>H4*D5</f>
        <v>137858.112</v>
      </c>
      <c r="I5" s="16"/>
      <c r="J5" s="18">
        <f>H4+H5</f>
        <v>664034.112</v>
      </c>
    </row>
    <row r="6" spans="1:10" ht="12.75">
      <c r="A6" s="28" t="s">
        <v>132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 ht="12.75">
      <c r="A7" s="23" t="s">
        <v>138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9" ht="12.75">
      <c r="A8" s="46" t="s">
        <v>118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 ht="12.75">
      <c r="A9" s="23" t="s">
        <v>139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139</v>
      </c>
      <c r="B10" s="40"/>
      <c r="C10" s="39"/>
      <c r="D10" s="38">
        <v>0.262</v>
      </c>
      <c r="E10" s="37"/>
      <c r="F10" s="37"/>
      <c r="G10" s="36"/>
      <c r="H10" s="35">
        <f>H9*D10</f>
        <v>285563.232</v>
      </c>
      <c r="I10" s="16"/>
      <c r="J10" s="18">
        <f>H9+H10</f>
        <v>1375499.232</v>
      </c>
    </row>
    <row r="11" spans="1:10" ht="12.75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2:9" ht="13.5" thickBot="1">
      <c r="B13" s="29"/>
      <c r="C13" s="66"/>
      <c r="E13" s="34"/>
      <c r="F13" s="34"/>
      <c r="G13" s="29"/>
      <c r="I13" s="16"/>
    </row>
    <row r="14" spans="1:9" ht="13.5" thickBot="1">
      <c r="A14" s="65" t="s">
        <v>131</v>
      </c>
      <c r="B14" s="65" t="s">
        <v>130</v>
      </c>
      <c r="C14" s="65" t="s">
        <v>129</v>
      </c>
      <c r="D14" s="64" t="s">
        <v>128</v>
      </c>
      <c r="E14" s="63" t="s">
        <v>127</v>
      </c>
      <c r="F14" s="63" t="s">
        <v>126</v>
      </c>
      <c r="G14" s="62" t="s">
        <v>125</v>
      </c>
      <c r="H14" s="61" t="s">
        <v>97</v>
      </c>
      <c r="I14" s="16"/>
    </row>
    <row r="15" spans="1:9" ht="12.75">
      <c r="A15" s="60" t="s">
        <v>124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</v>
      </c>
      <c r="I15" s="16"/>
    </row>
    <row r="16" spans="1:10" ht="13.5" thickBot="1">
      <c r="A16" s="40" t="s">
        <v>124</v>
      </c>
      <c r="B16" s="40"/>
      <c r="C16" s="39"/>
      <c r="D16" s="38">
        <v>0.262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774706.4640000002</v>
      </c>
    </row>
    <row r="17" spans="1:10" ht="12.7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9" ht="12.75">
      <c r="A18" s="30" t="s">
        <v>123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aca="true" t="shared" si="0" ref="H18:H24">B18*(2+E18+F18)*(C18*D18)*G18</f>
        <v>490680</v>
      </c>
      <c r="I18" s="16"/>
    </row>
    <row r="19" spans="1:9" ht="12.75">
      <c r="A19" s="28" t="s">
        <v>122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</v>
      </c>
      <c r="I19" s="16"/>
    </row>
    <row r="20" spans="1:10" ht="12.75">
      <c r="A20" s="46" t="s">
        <v>121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</v>
      </c>
      <c r="I20" s="16"/>
      <c r="J20" s="16"/>
    </row>
    <row r="21" spans="1:10" ht="12.75">
      <c r="A21" s="46" t="s">
        <v>121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9" ht="12.75">
      <c r="A22" s="46" t="s">
        <v>120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9" ht="12.75">
      <c r="A23" s="46" t="s">
        <v>120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9" ht="12.75">
      <c r="A24" s="46" t="s">
        <v>119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9" ht="12.75">
      <c r="A25" s="46" t="s">
        <v>117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9" ht="12.75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115</v>
      </c>
      <c r="B27" s="40"/>
      <c r="C27" s="39"/>
      <c r="D27" s="38">
        <v>0.262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9" ht="12.75">
      <c r="A28" s="79"/>
      <c r="B28" s="80"/>
      <c r="C28" s="81"/>
      <c r="D28" s="82"/>
      <c r="E28" s="83"/>
      <c r="F28" s="83"/>
      <c r="G28" s="84"/>
      <c r="H28" s="85"/>
      <c r="I28" s="16"/>
    </row>
    <row r="29" spans="1:9" ht="12.75">
      <c r="A29" s="46" t="s">
        <v>116</v>
      </c>
      <c r="B29" s="42"/>
      <c r="C29" s="45"/>
      <c r="D29" s="44"/>
      <c r="E29" s="43"/>
      <c r="F29" s="43"/>
      <c r="G29" s="42"/>
      <c r="H29" s="50">
        <f>H30+H31</f>
        <v>396575.928</v>
      </c>
      <c r="I29" s="16"/>
    </row>
    <row r="30" spans="1:10" ht="12.75">
      <c r="A30" s="46" t="s">
        <v>119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</v>
      </c>
    </row>
    <row r="32" spans="1:10" ht="12.75">
      <c r="A32" s="91" t="s">
        <v>135</v>
      </c>
      <c r="B32" s="92"/>
      <c r="C32" s="93"/>
      <c r="D32" s="94"/>
      <c r="E32" s="95"/>
      <c r="F32" s="95"/>
      <c r="G32" s="92"/>
      <c r="H32" s="96">
        <f>H15+H26+H29</f>
        <v>4297187.928</v>
      </c>
      <c r="I32" s="16"/>
      <c r="J32" s="18"/>
    </row>
    <row r="33" spans="1:10" ht="12.75">
      <c r="A33" s="97" t="s">
        <v>136</v>
      </c>
      <c r="B33" s="98"/>
      <c r="C33" s="99"/>
      <c r="D33" s="100"/>
      <c r="E33" s="101"/>
      <c r="F33" s="101"/>
      <c r="G33" s="98"/>
      <c r="H33" s="102">
        <f>H16+H27+H31</f>
        <v>1104292.272</v>
      </c>
      <c r="I33" s="16"/>
      <c r="J33" s="18">
        <f>H32+H33</f>
        <v>5401480.2</v>
      </c>
    </row>
    <row r="34" spans="1:7" ht="12.75">
      <c r="A34" s="13">
        <v>221</v>
      </c>
      <c r="C34" s="29"/>
      <c r="E34" s="34"/>
      <c r="F34" s="34"/>
      <c r="G34" s="29"/>
    </row>
    <row r="35" spans="1:8" ht="12.75">
      <c r="A35" s="25" t="s">
        <v>142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8" ht="12.75">
      <c r="A36" s="25" t="s">
        <v>114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8" ht="12.75">
      <c r="A37" s="25" t="s">
        <v>113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 ht="12.75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8" ht="12.75">
      <c r="A39" s="13">
        <v>222</v>
      </c>
      <c r="B39" s="26"/>
      <c r="H39" s="19"/>
    </row>
    <row r="40" spans="1:8" ht="12.75">
      <c r="A40" s="25" t="s">
        <v>98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8" ht="12.75">
      <c r="A41" s="30" t="s">
        <v>140</v>
      </c>
      <c r="B41" s="26"/>
      <c r="G41" s="29">
        <v>1</v>
      </c>
      <c r="H41" s="12">
        <f>B41*G41</f>
        <v>0</v>
      </c>
    </row>
    <row r="42" spans="1:8" ht="12.75">
      <c r="A42" s="25" t="s">
        <v>112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8" ht="12" customHeight="1">
      <c r="A43" s="13">
        <v>223</v>
      </c>
      <c r="B43" s="26"/>
      <c r="H43" s="19"/>
    </row>
    <row r="44" spans="1:8" ht="12.75">
      <c r="A44" s="25" t="s">
        <v>111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9" ht="12.75">
      <c r="A45" s="25" t="s">
        <v>110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2:10" ht="13.5" thickBot="1">
      <c r="B46" s="26"/>
      <c r="H46" s="19">
        <f>SUM(H44:H45)</f>
        <v>127980</v>
      </c>
      <c r="J46" s="16">
        <f>H47</f>
        <v>0</v>
      </c>
    </row>
    <row r="47" spans="1:8" ht="13.5" thickBot="1">
      <c r="A47" s="13">
        <v>225</v>
      </c>
      <c r="B47" s="26"/>
      <c r="H47" s="27"/>
    </row>
    <row r="48" spans="1:8" ht="12.75">
      <c r="A48" s="25" t="s">
        <v>109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8" ht="12.75">
      <c r="A49" s="25" t="s">
        <v>108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 ht="12.75">
      <c r="A50" s="30"/>
      <c r="B50" s="26"/>
      <c r="G50" s="29"/>
      <c r="H50" s="19">
        <f>SUM(H48:H49)</f>
        <v>106000</v>
      </c>
      <c r="J50" s="16">
        <f>H51</f>
        <v>0</v>
      </c>
    </row>
    <row r="51" spans="1:2" ht="12.75">
      <c r="A51" s="13">
        <v>226</v>
      </c>
      <c r="B51" s="26"/>
    </row>
    <row r="52" spans="1:8" ht="12.75">
      <c r="A52" s="25" t="s">
        <v>107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8" ht="12.75">
      <c r="A53" s="25" t="s">
        <v>107</v>
      </c>
      <c r="B53" s="24">
        <v>0</v>
      </c>
      <c r="C53" s="23"/>
      <c r="D53" s="22"/>
      <c r="E53" s="21"/>
      <c r="F53" s="21"/>
      <c r="G53" s="20">
        <v>7</v>
      </c>
      <c r="H53" s="19">
        <f aca="true" t="shared" si="1" ref="H53:H58">B53*G53</f>
        <v>0</v>
      </c>
    </row>
    <row r="54" spans="1:8" ht="12.75">
      <c r="A54" s="25" t="s">
        <v>106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8" ht="12.75">
      <c r="A55" s="25" t="s">
        <v>105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8" ht="12.75">
      <c r="A56" s="25" t="s">
        <v>104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8" ht="12.75">
      <c r="A57" s="25" t="s">
        <v>103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8" ht="13.5" thickBot="1">
      <c r="A58" s="28" t="s">
        <v>102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2:10" ht="13.5" thickBot="1">
      <c r="B59" s="26"/>
      <c r="H59" s="27">
        <f>SUM(H52:H58)</f>
        <v>570180</v>
      </c>
      <c r="J59" s="16">
        <f>H60</f>
        <v>0</v>
      </c>
    </row>
    <row r="60" spans="1:8" ht="13.5" thickBot="1">
      <c r="A60" s="13">
        <v>290</v>
      </c>
      <c r="B60" s="26"/>
      <c r="H60" s="27"/>
    </row>
    <row r="61" spans="1:10" ht="12.75">
      <c r="A61" s="25" t="s">
        <v>101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 ht="12.75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 ht="12.75">
      <c r="A63" s="25" t="s">
        <v>100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8" ht="12.75">
      <c r="A64" s="13">
        <v>340</v>
      </c>
      <c r="B64" s="26"/>
      <c r="H64" s="19"/>
    </row>
    <row r="65" spans="1:10" ht="12.75">
      <c r="A65" s="25" t="s">
        <v>99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2:10" ht="12.75">
      <c r="B66" s="17"/>
      <c r="H66" s="19"/>
      <c r="I66" s="11">
        <v>300</v>
      </c>
      <c r="J66" s="18">
        <f>SUM(J63:J65)</f>
        <v>0</v>
      </c>
    </row>
    <row r="67" ht="12.75">
      <c r="B67" s="17"/>
    </row>
    <row r="68" spans="2:10" ht="12.75">
      <c r="B68" s="17"/>
      <c r="I68" s="11" t="s">
        <v>98</v>
      </c>
      <c r="J68" s="16">
        <f>J7+J10+J16+J31+J62+J66</f>
        <v>2546781.6240000003</v>
      </c>
    </row>
    <row r="70" ht="12.75">
      <c r="J70" s="16">
        <f>J68/1000</f>
        <v>2546.781624</v>
      </c>
    </row>
    <row r="72" ht="12.75">
      <c r="J72" s="16">
        <f>6461.3-J70</f>
        <v>3914.518376</v>
      </c>
    </row>
  </sheetData>
  <sheetProtection/>
  <mergeCells count="1">
    <mergeCell ref="F1:H1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zoomScalePageLayoutView="0" workbookViewId="0" topLeftCell="A1">
      <pane xSplit="2" ySplit="10" topLeftCell="C34" activePane="bottomRight" state="frozen"/>
      <selection pane="topLeft"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421875" style="1" customWidth="1"/>
    <col min="3" max="3" width="51.421875" style="2" customWidth="1"/>
    <col min="4" max="4" width="11.7109375" style="6" hidden="1" customWidth="1"/>
    <col min="5" max="5" width="10.8515625" style="2" hidden="1" customWidth="1"/>
    <col min="6" max="6" width="13.421875" style="2" hidden="1" customWidth="1"/>
    <col min="7" max="7" width="15.8515625" style="2" hidden="1" customWidth="1"/>
    <col min="8" max="8" width="14.00390625" style="2" hidden="1" customWidth="1"/>
    <col min="9" max="9" width="16.57421875" style="2" hidden="1" customWidth="1"/>
    <col min="10" max="10" width="15.421875" style="2" customWidth="1"/>
    <col min="11" max="11" width="12.7109375" style="2" hidden="1" customWidth="1"/>
    <col min="12" max="12" width="12.00390625" style="2" hidden="1" customWidth="1"/>
    <col min="13" max="13" width="10.140625" style="2" hidden="1" customWidth="1"/>
    <col min="14" max="16" width="0" style="2" hidden="1" customWidth="1"/>
    <col min="17" max="17" width="9.140625" style="2" customWidth="1"/>
    <col min="18" max="18" width="10.140625" style="2" bestFit="1" customWidth="1"/>
    <col min="19" max="19" width="9.140625" style="268" customWidth="1"/>
    <col min="20" max="16384" width="9.140625" style="2" customWidth="1"/>
  </cols>
  <sheetData>
    <row r="1" spans="1:16" ht="21" customHeight="1">
      <c r="A1" s="118" t="s">
        <v>207</v>
      </c>
      <c r="B1" s="119"/>
      <c r="C1" s="563" t="s">
        <v>284</v>
      </c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</row>
    <row r="2" spans="1:16" ht="21" customHeight="1">
      <c r="A2" s="115"/>
      <c r="B2" s="120"/>
      <c r="C2" s="120"/>
      <c r="D2" s="120"/>
      <c r="E2" s="120"/>
      <c r="F2" s="120"/>
      <c r="G2" s="120"/>
      <c r="H2" s="120"/>
      <c r="I2" s="120"/>
      <c r="J2" s="121" t="s">
        <v>330</v>
      </c>
      <c r="K2" s="120"/>
      <c r="L2" s="120"/>
      <c r="M2" s="120"/>
      <c r="N2" s="120"/>
      <c r="O2" s="120"/>
      <c r="P2" s="120"/>
    </row>
    <row r="3" spans="1:16" ht="21" customHeight="1">
      <c r="A3" s="115"/>
      <c r="B3" s="120"/>
      <c r="C3" s="120"/>
      <c r="D3" s="120"/>
      <c r="E3" s="120"/>
      <c r="F3" s="120"/>
      <c r="G3" s="120"/>
      <c r="H3" s="120"/>
      <c r="I3" s="120"/>
      <c r="J3" s="121" t="s">
        <v>331</v>
      </c>
      <c r="K3" s="120"/>
      <c r="L3" s="120"/>
      <c r="M3" s="120"/>
      <c r="N3" s="120"/>
      <c r="O3" s="120"/>
      <c r="P3" s="120"/>
    </row>
    <row r="4" spans="1:16" ht="22.5" customHeight="1">
      <c r="A4" s="115"/>
      <c r="B4" s="115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</row>
    <row r="5" spans="1:16" ht="22.5" customHeight="1">
      <c r="A5" s="561" t="s">
        <v>323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1:16" ht="27" customHeight="1">
      <c r="A6" s="561" t="s">
        <v>332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1:16" ht="27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562" t="s">
        <v>322</v>
      </c>
      <c r="P7" s="562"/>
    </row>
    <row r="8" spans="1:19" s="7" customFormat="1" ht="61.5" customHeight="1" thickBot="1">
      <c r="A8" s="123" t="s">
        <v>19</v>
      </c>
      <c r="B8" s="123" t="s">
        <v>27</v>
      </c>
      <c r="C8" s="124" t="s">
        <v>20</v>
      </c>
      <c r="D8" s="125" t="s">
        <v>204</v>
      </c>
      <c r="E8" s="125" t="s">
        <v>209</v>
      </c>
      <c r="F8" s="125" t="s">
        <v>205</v>
      </c>
      <c r="G8" s="125" t="s">
        <v>257</v>
      </c>
      <c r="H8" s="125" t="s">
        <v>281</v>
      </c>
      <c r="I8" s="125" t="s">
        <v>238</v>
      </c>
      <c r="J8" s="125" t="s">
        <v>283</v>
      </c>
      <c r="K8" s="126" t="s">
        <v>235</v>
      </c>
      <c r="L8" s="127" t="s">
        <v>239</v>
      </c>
      <c r="M8" s="128" t="s">
        <v>318</v>
      </c>
      <c r="N8" s="128" t="s">
        <v>319</v>
      </c>
      <c r="O8" s="128" t="s">
        <v>320</v>
      </c>
      <c r="P8" s="128" t="s">
        <v>321</v>
      </c>
      <c r="S8" s="269"/>
    </row>
    <row r="9" spans="1:19" s="3" customFormat="1" ht="16.5" thickBot="1">
      <c r="A9" s="129" t="s">
        <v>21</v>
      </c>
      <c r="B9" s="130" t="s">
        <v>32</v>
      </c>
      <c r="C9" s="131" t="s">
        <v>292</v>
      </c>
      <c r="D9" s="132" t="e">
        <f>D10+D21+D24+D31+D35</f>
        <v>#REF!</v>
      </c>
      <c r="E9" s="132" t="e">
        <f>E10+E21+E24+E31+E35</f>
        <v>#REF!</v>
      </c>
      <c r="F9" s="132" t="e">
        <f>F10+F21+F24+F31+F35</f>
        <v>#REF!</v>
      </c>
      <c r="G9" s="132">
        <f aca="true" t="shared" si="0" ref="G9:P9">G10+G21+G24+G35+G43</f>
        <v>29725.4</v>
      </c>
      <c r="H9" s="132">
        <f t="shared" si="0"/>
        <v>17464.399999999998</v>
      </c>
      <c r="I9" s="132">
        <f t="shared" si="0"/>
        <v>29091.899999999998</v>
      </c>
      <c r="J9" s="133">
        <f>J10+J21+J24+J35+J43+J39</f>
        <v>26445.6</v>
      </c>
      <c r="K9" s="134">
        <f t="shared" si="0"/>
        <v>27354.59</v>
      </c>
      <c r="L9" s="135">
        <f t="shared" si="0"/>
        <v>28859.092449999996</v>
      </c>
      <c r="M9" s="136">
        <f t="shared" si="0"/>
        <v>8499.166666666666</v>
      </c>
      <c r="N9" s="136">
        <f t="shared" si="0"/>
        <v>8499.166666666666</v>
      </c>
      <c r="O9" s="136">
        <f t="shared" si="0"/>
        <v>8499.166666666666</v>
      </c>
      <c r="P9" s="136">
        <f t="shared" si="0"/>
        <v>133.5</v>
      </c>
      <c r="S9" s="270"/>
    </row>
    <row r="10" spans="1:19" s="4" customFormat="1" ht="16.5" thickBot="1">
      <c r="A10" s="137" t="s">
        <v>25</v>
      </c>
      <c r="B10" s="138" t="s">
        <v>151</v>
      </c>
      <c r="C10" s="139" t="s">
        <v>23</v>
      </c>
      <c r="D10" s="140">
        <f aca="true" t="shared" si="1" ref="D10:P10">D11+D18</f>
        <v>9631.4</v>
      </c>
      <c r="E10" s="140">
        <f t="shared" si="1"/>
        <v>6727.71</v>
      </c>
      <c r="F10" s="140">
        <f t="shared" si="1"/>
        <v>10213.75</v>
      </c>
      <c r="G10" s="140">
        <f t="shared" si="1"/>
        <v>18820</v>
      </c>
      <c r="H10" s="140">
        <f t="shared" si="1"/>
        <v>10036.199999999999</v>
      </c>
      <c r="I10" s="140">
        <f t="shared" si="1"/>
        <v>17432.899999999998</v>
      </c>
      <c r="J10" s="141">
        <f>J11+J18+J20</f>
        <v>15644</v>
      </c>
      <c r="K10" s="142">
        <f t="shared" si="1"/>
        <v>16771.415999999997</v>
      </c>
      <c r="L10" s="143">
        <f t="shared" si="1"/>
        <v>17693.843879999997</v>
      </c>
      <c r="M10" s="144">
        <f t="shared" si="1"/>
        <v>5188.5</v>
      </c>
      <c r="N10" s="144">
        <f t="shared" si="1"/>
        <v>5188.5</v>
      </c>
      <c r="O10" s="144">
        <f t="shared" si="1"/>
        <v>5188.5</v>
      </c>
      <c r="P10" s="144">
        <f t="shared" si="1"/>
        <v>62.5</v>
      </c>
      <c r="S10" s="271"/>
    </row>
    <row r="11" spans="1:19" s="6" customFormat="1" ht="39.75" customHeight="1">
      <c r="A11" s="145" t="s">
        <v>74</v>
      </c>
      <c r="B11" s="146" t="s">
        <v>232</v>
      </c>
      <c r="C11" s="147" t="s">
        <v>145</v>
      </c>
      <c r="D11" s="148">
        <f>D12+D15+D13+D16</f>
        <v>9391.4</v>
      </c>
      <c r="E11" s="148">
        <f>E12+E15+E13+E16</f>
        <v>6546.21</v>
      </c>
      <c r="F11" s="148">
        <f>F12+F15+F13+F16</f>
        <v>9941.5</v>
      </c>
      <c r="G11" s="148">
        <f>G12+G15+G13+G16+G17</f>
        <v>18620</v>
      </c>
      <c r="H11" s="148">
        <f>H12+H15+H13+H16+H17</f>
        <v>9812.999999999998</v>
      </c>
      <c r="I11" s="148">
        <f>I12+I15+I13+I16+I17+I18</f>
        <v>17098.1</v>
      </c>
      <c r="J11" s="149">
        <f>J12+J15+J13+J16+J17</f>
        <v>15404</v>
      </c>
      <c r="K11" s="150">
        <f>K12+K15+K13+K16+K17+K18</f>
        <v>16534.424</v>
      </c>
      <c r="L11" s="151">
        <f>L12+L15+L13+L16+L17+L18</f>
        <v>17443.81732</v>
      </c>
      <c r="M11" s="152">
        <f>M12+M15+M13+M16+M17</f>
        <v>5113.833333333333</v>
      </c>
      <c r="N11" s="152">
        <f>N12+N15+N13+N16+N17</f>
        <v>5113.833333333333</v>
      </c>
      <c r="O11" s="152">
        <f>O12+O15+O13+O16+O17</f>
        <v>5113.833333333333</v>
      </c>
      <c r="P11" s="152">
        <f>P12+P15+P13+P16+P17</f>
        <v>62.5</v>
      </c>
      <c r="S11" s="272"/>
    </row>
    <row r="12" spans="1:19" s="6" customFormat="1" ht="39.75" customHeight="1">
      <c r="A12" s="145" t="s">
        <v>59</v>
      </c>
      <c r="B12" s="146" t="s">
        <v>187</v>
      </c>
      <c r="C12" s="147" t="s">
        <v>146</v>
      </c>
      <c r="D12" s="148">
        <v>6131.4</v>
      </c>
      <c r="E12" s="148">
        <v>3667.3</v>
      </c>
      <c r="F12" s="148">
        <f>E12/8*12</f>
        <v>5500.950000000001</v>
      </c>
      <c r="G12" s="148">
        <v>17300</v>
      </c>
      <c r="H12" s="148">
        <v>8970.8</v>
      </c>
      <c r="I12" s="148">
        <v>15500</v>
      </c>
      <c r="J12" s="149">
        <v>12426</v>
      </c>
      <c r="K12" s="153">
        <f>J12*1.058</f>
        <v>13146.708</v>
      </c>
      <c r="L12" s="154">
        <f>K12*1.055</f>
        <v>13869.77694</v>
      </c>
      <c r="M12" s="152">
        <f>J12/3</f>
        <v>4142</v>
      </c>
      <c r="N12" s="152">
        <f>J12/3</f>
        <v>4142</v>
      </c>
      <c r="O12" s="152">
        <f>J12/3</f>
        <v>4142</v>
      </c>
      <c r="P12" s="152">
        <v>0</v>
      </c>
      <c r="S12" s="272"/>
    </row>
    <row r="13" spans="1:19" s="6" customFormat="1" ht="60.75" customHeight="1" hidden="1">
      <c r="A13" s="145" t="s">
        <v>58</v>
      </c>
      <c r="B13" s="146" t="s">
        <v>188</v>
      </c>
      <c r="C13" s="147" t="s">
        <v>189</v>
      </c>
      <c r="D13" s="148">
        <v>2450</v>
      </c>
      <c r="E13" s="148">
        <v>2220.5</v>
      </c>
      <c r="F13" s="148">
        <f>E13/8*12</f>
        <v>3330.75</v>
      </c>
      <c r="G13" s="148"/>
      <c r="H13" s="148"/>
      <c r="I13" s="148">
        <f>H13/8*12</f>
        <v>0</v>
      </c>
      <c r="J13" s="149">
        <f aca="true" t="shared" si="2" ref="J13:K47">I13*1.058</f>
        <v>0</v>
      </c>
      <c r="K13" s="153">
        <f t="shared" si="2"/>
        <v>0</v>
      </c>
      <c r="L13" s="154">
        <f aca="true" t="shared" si="3" ref="L13:L47">K13*1.055</f>
        <v>0</v>
      </c>
      <c r="M13" s="148">
        <v>0</v>
      </c>
      <c r="N13" s="148">
        <v>0</v>
      </c>
      <c r="O13" s="148">
        <v>0</v>
      </c>
      <c r="P13" s="148">
        <v>0</v>
      </c>
      <c r="S13" s="272"/>
    </row>
    <row r="14" spans="1:19" s="6" customFormat="1" ht="39.75" customHeight="1">
      <c r="A14" s="145" t="s">
        <v>75</v>
      </c>
      <c r="B14" s="146" t="s">
        <v>258</v>
      </c>
      <c r="C14" s="147" t="s">
        <v>147</v>
      </c>
      <c r="D14" s="148"/>
      <c r="E14" s="148"/>
      <c r="F14" s="148"/>
      <c r="G14" s="148">
        <f>G15</f>
        <v>760</v>
      </c>
      <c r="H14" s="148">
        <f>H15</f>
        <v>824.4</v>
      </c>
      <c r="I14" s="148">
        <f>I15</f>
        <v>1236.6</v>
      </c>
      <c r="J14" s="149">
        <f>J15</f>
        <v>2728</v>
      </c>
      <c r="K14" s="153">
        <f t="shared" si="2"/>
        <v>2886.224</v>
      </c>
      <c r="L14" s="154">
        <f t="shared" si="3"/>
        <v>3044.96632</v>
      </c>
      <c r="M14" s="152">
        <f>M15</f>
        <v>909.3333333333334</v>
      </c>
      <c r="N14" s="152">
        <f>N15</f>
        <v>909.3333333333334</v>
      </c>
      <c r="O14" s="152">
        <f>O15</f>
        <v>909.3333333333334</v>
      </c>
      <c r="P14" s="152">
        <f>P15</f>
        <v>0</v>
      </c>
      <c r="S14" s="272"/>
    </row>
    <row r="15" spans="1:19" s="6" customFormat="1" ht="39.75" customHeight="1">
      <c r="A15" s="145" t="s">
        <v>175</v>
      </c>
      <c r="B15" s="146" t="s">
        <v>190</v>
      </c>
      <c r="C15" s="147" t="s">
        <v>147</v>
      </c>
      <c r="D15" s="148">
        <v>800</v>
      </c>
      <c r="E15" s="148">
        <v>733.2</v>
      </c>
      <c r="F15" s="148">
        <f>E15/8*12</f>
        <v>1099.8000000000002</v>
      </c>
      <c r="G15" s="148">
        <v>760</v>
      </c>
      <c r="H15" s="148">
        <v>824.4</v>
      </c>
      <c r="I15" s="148">
        <f aca="true" t="shared" si="4" ref="I15:I20">H15/8*12</f>
        <v>1236.6</v>
      </c>
      <c r="J15" s="149">
        <v>2728</v>
      </c>
      <c r="K15" s="153">
        <f t="shared" si="2"/>
        <v>2886.224</v>
      </c>
      <c r="L15" s="154">
        <f t="shared" si="3"/>
        <v>3044.96632</v>
      </c>
      <c r="M15" s="152">
        <f>J15/3</f>
        <v>909.3333333333334</v>
      </c>
      <c r="N15" s="152">
        <f>J15/3</f>
        <v>909.3333333333334</v>
      </c>
      <c r="O15" s="152">
        <f>J15/3</f>
        <v>909.3333333333334</v>
      </c>
      <c r="P15" s="152">
        <v>0</v>
      </c>
      <c r="S15" s="272"/>
    </row>
    <row r="16" spans="1:19" s="6" customFormat="1" ht="39.75" customHeight="1" hidden="1">
      <c r="A16" s="145" t="s">
        <v>175</v>
      </c>
      <c r="B16" s="146" t="s">
        <v>191</v>
      </c>
      <c r="C16" s="147" t="s">
        <v>192</v>
      </c>
      <c r="D16" s="148">
        <v>10</v>
      </c>
      <c r="E16" s="148">
        <v>-74.79</v>
      </c>
      <c r="F16" s="148">
        <v>10</v>
      </c>
      <c r="G16" s="155"/>
      <c r="H16" s="155"/>
      <c r="I16" s="148">
        <f t="shared" si="4"/>
        <v>0</v>
      </c>
      <c r="J16" s="149">
        <f t="shared" si="2"/>
        <v>0</v>
      </c>
      <c r="K16" s="153">
        <f t="shared" si="2"/>
        <v>0</v>
      </c>
      <c r="L16" s="154">
        <f t="shared" si="3"/>
        <v>0</v>
      </c>
      <c r="M16" s="148">
        <v>0</v>
      </c>
      <c r="N16" s="148">
        <v>0</v>
      </c>
      <c r="O16" s="148">
        <v>0</v>
      </c>
      <c r="P16" s="148">
        <v>0</v>
      </c>
      <c r="S16" s="272"/>
    </row>
    <row r="17" spans="1:19" s="6" customFormat="1" ht="39.75" customHeight="1">
      <c r="A17" s="145" t="s">
        <v>231</v>
      </c>
      <c r="B17" s="146" t="s">
        <v>229</v>
      </c>
      <c r="C17" s="147" t="s">
        <v>230</v>
      </c>
      <c r="D17" s="148"/>
      <c r="E17" s="148"/>
      <c r="F17" s="148"/>
      <c r="G17" s="148">
        <v>560</v>
      </c>
      <c r="H17" s="148">
        <v>17.8</v>
      </c>
      <c r="I17" s="148">
        <f t="shared" si="4"/>
        <v>26.700000000000003</v>
      </c>
      <c r="J17" s="149">
        <v>250</v>
      </c>
      <c r="K17" s="153">
        <f t="shared" si="2"/>
        <v>264.5</v>
      </c>
      <c r="L17" s="154">
        <f t="shared" si="3"/>
        <v>279.04749999999996</v>
      </c>
      <c r="M17" s="152">
        <f>J17/4</f>
        <v>62.5</v>
      </c>
      <c r="N17" s="152">
        <f>J17/4</f>
        <v>62.5</v>
      </c>
      <c r="O17" s="152">
        <f>J17/4</f>
        <v>62.5</v>
      </c>
      <c r="P17" s="152">
        <f>J17/4</f>
        <v>62.5</v>
      </c>
      <c r="S17" s="272"/>
    </row>
    <row r="18" spans="1:19" s="6" customFormat="1" ht="39.75" customHeight="1">
      <c r="A18" s="145" t="s">
        <v>162</v>
      </c>
      <c r="B18" s="146" t="s">
        <v>234</v>
      </c>
      <c r="C18" s="147" t="s">
        <v>285</v>
      </c>
      <c r="D18" s="148">
        <f>D19+D20</f>
        <v>240</v>
      </c>
      <c r="E18" s="148">
        <f>E19+E20</f>
        <v>181.5</v>
      </c>
      <c r="F18" s="148">
        <f>E18/8*12</f>
        <v>272.25</v>
      </c>
      <c r="G18" s="148">
        <f>G19+G20</f>
        <v>200</v>
      </c>
      <c r="H18" s="148">
        <f>H19+H20</f>
        <v>223.2</v>
      </c>
      <c r="I18" s="148">
        <f t="shared" si="4"/>
        <v>334.79999999999995</v>
      </c>
      <c r="J18" s="149">
        <f>J19</f>
        <v>224</v>
      </c>
      <c r="K18" s="153">
        <f t="shared" si="2"/>
        <v>236.99200000000002</v>
      </c>
      <c r="L18" s="154">
        <f t="shared" si="3"/>
        <v>250.02656000000002</v>
      </c>
      <c r="M18" s="152">
        <f>M19</f>
        <v>74.66666666666667</v>
      </c>
      <c r="N18" s="152">
        <f>N19</f>
        <v>74.66666666666667</v>
      </c>
      <c r="O18" s="152">
        <f>O19</f>
        <v>74.66666666666667</v>
      </c>
      <c r="P18" s="152">
        <f>P19</f>
        <v>0</v>
      </c>
      <c r="S18" s="272"/>
    </row>
    <row r="19" spans="1:19" s="6" customFormat="1" ht="39.75" customHeight="1">
      <c r="A19" s="145" t="s">
        <v>174</v>
      </c>
      <c r="B19" s="146" t="s">
        <v>193</v>
      </c>
      <c r="C19" s="147" t="s">
        <v>285</v>
      </c>
      <c r="D19" s="148">
        <v>120</v>
      </c>
      <c r="E19" s="148">
        <v>130.5</v>
      </c>
      <c r="F19" s="148">
        <f>E19/8*12</f>
        <v>195.75</v>
      </c>
      <c r="G19" s="148">
        <v>200</v>
      </c>
      <c r="H19" s="148">
        <v>223.2</v>
      </c>
      <c r="I19" s="148">
        <f t="shared" si="4"/>
        <v>334.79999999999995</v>
      </c>
      <c r="J19" s="149">
        <v>224</v>
      </c>
      <c r="K19" s="153">
        <f t="shared" si="2"/>
        <v>236.99200000000002</v>
      </c>
      <c r="L19" s="154">
        <f t="shared" si="3"/>
        <v>250.02656000000002</v>
      </c>
      <c r="M19" s="152">
        <f>J19/3</f>
        <v>74.66666666666667</v>
      </c>
      <c r="N19" s="152">
        <f>J19/3</f>
        <v>74.66666666666667</v>
      </c>
      <c r="O19" s="152">
        <f>J19/3</f>
        <v>74.66666666666667</v>
      </c>
      <c r="P19" s="152">
        <v>0</v>
      </c>
      <c r="S19" s="272"/>
    </row>
    <row r="20" spans="1:19" s="4" customFormat="1" ht="45" customHeight="1" thickBot="1">
      <c r="A20" s="145" t="s">
        <v>220</v>
      </c>
      <c r="B20" s="146" t="s">
        <v>333</v>
      </c>
      <c r="C20" s="147" t="s">
        <v>334</v>
      </c>
      <c r="D20" s="148">
        <v>120</v>
      </c>
      <c r="E20" s="148">
        <v>51</v>
      </c>
      <c r="F20" s="148">
        <f>E20/8*12</f>
        <v>76.5</v>
      </c>
      <c r="G20" s="155"/>
      <c r="H20" s="148"/>
      <c r="I20" s="148">
        <f t="shared" si="4"/>
        <v>0</v>
      </c>
      <c r="J20" s="149">
        <v>16</v>
      </c>
      <c r="K20" s="153">
        <f t="shared" si="2"/>
        <v>16.928</v>
      </c>
      <c r="L20" s="154">
        <f t="shared" si="3"/>
        <v>17.85904</v>
      </c>
      <c r="M20" s="156"/>
      <c r="N20" s="156"/>
      <c r="O20" s="156"/>
      <c r="P20" s="156"/>
      <c r="S20" s="271"/>
    </row>
    <row r="21" spans="1:19" s="6" customFormat="1" ht="16.5" thickBot="1">
      <c r="A21" s="137" t="s">
        <v>22</v>
      </c>
      <c r="B21" s="138" t="s">
        <v>152</v>
      </c>
      <c r="C21" s="139" t="s">
        <v>24</v>
      </c>
      <c r="D21" s="140">
        <f>D22</f>
        <v>300</v>
      </c>
      <c r="E21" s="140">
        <f aca="true" t="shared" si="5" ref="E21:P22">E22</f>
        <v>175</v>
      </c>
      <c r="F21" s="140">
        <f t="shared" si="5"/>
        <v>262.5</v>
      </c>
      <c r="G21" s="140">
        <f t="shared" si="5"/>
        <v>1600</v>
      </c>
      <c r="H21" s="140">
        <f t="shared" si="5"/>
        <v>950.7</v>
      </c>
      <c r="I21" s="140">
        <f t="shared" si="5"/>
        <v>1600</v>
      </c>
      <c r="J21" s="141">
        <f t="shared" si="5"/>
        <v>2985</v>
      </c>
      <c r="K21" s="157">
        <f t="shared" si="5"/>
        <v>3158.13</v>
      </c>
      <c r="L21" s="158">
        <f t="shared" si="5"/>
        <v>3331.82715</v>
      </c>
      <c r="M21" s="144">
        <f t="shared" si="5"/>
        <v>995</v>
      </c>
      <c r="N21" s="144">
        <f t="shared" si="5"/>
        <v>995</v>
      </c>
      <c r="O21" s="144">
        <f t="shared" si="5"/>
        <v>995</v>
      </c>
      <c r="P21" s="144">
        <f t="shared" si="5"/>
        <v>0</v>
      </c>
      <c r="S21" s="272"/>
    </row>
    <row r="22" spans="1:16" ht="39.75" customHeight="1">
      <c r="A22" s="145" t="s">
        <v>76</v>
      </c>
      <c r="B22" s="146" t="s">
        <v>233</v>
      </c>
      <c r="C22" s="159" t="s">
        <v>67</v>
      </c>
      <c r="D22" s="148">
        <f>D23</f>
        <v>300</v>
      </c>
      <c r="E22" s="148">
        <v>175</v>
      </c>
      <c r="F22" s="148">
        <f t="shared" si="5"/>
        <v>262.5</v>
      </c>
      <c r="G22" s="148">
        <f t="shared" si="5"/>
        <v>1600</v>
      </c>
      <c r="H22" s="148">
        <f t="shared" si="5"/>
        <v>950.7</v>
      </c>
      <c r="I22" s="148">
        <f>I23</f>
        <v>1600</v>
      </c>
      <c r="J22" s="149">
        <f>J23</f>
        <v>2985</v>
      </c>
      <c r="K22" s="153">
        <f t="shared" si="2"/>
        <v>3158.13</v>
      </c>
      <c r="L22" s="154">
        <f t="shared" si="3"/>
        <v>3331.82715</v>
      </c>
      <c r="M22" s="152">
        <f t="shared" si="5"/>
        <v>995</v>
      </c>
      <c r="N22" s="152">
        <f t="shared" si="5"/>
        <v>995</v>
      </c>
      <c r="O22" s="152">
        <f t="shared" si="5"/>
        <v>995</v>
      </c>
      <c r="P22" s="152">
        <f t="shared" si="5"/>
        <v>0</v>
      </c>
    </row>
    <row r="23" spans="1:19" s="6" customFormat="1" ht="64.5" thickBot="1">
      <c r="A23" s="145" t="s">
        <v>77</v>
      </c>
      <c r="B23" s="146" t="s">
        <v>64</v>
      </c>
      <c r="C23" s="147" t="s">
        <v>68</v>
      </c>
      <c r="D23" s="148">
        <v>300</v>
      </c>
      <c r="E23" s="148">
        <v>175</v>
      </c>
      <c r="F23" s="148">
        <f>E23/8*12</f>
        <v>262.5</v>
      </c>
      <c r="G23" s="148">
        <v>1600</v>
      </c>
      <c r="H23" s="148">
        <v>950.7</v>
      </c>
      <c r="I23" s="148">
        <v>1600</v>
      </c>
      <c r="J23" s="149">
        <f>1985+1000</f>
        <v>2985</v>
      </c>
      <c r="K23" s="153">
        <f t="shared" si="2"/>
        <v>3158.13</v>
      </c>
      <c r="L23" s="154">
        <f t="shared" si="3"/>
        <v>3331.82715</v>
      </c>
      <c r="M23" s="152">
        <f>J23/3</f>
        <v>995</v>
      </c>
      <c r="N23" s="152">
        <f>J23/3</f>
        <v>995</v>
      </c>
      <c r="O23" s="152">
        <f>J23/3</f>
        <v>995</v>
      </c>
      <c r="P23" s="152">
        <v>0</v>
      </c>
      <c r="S23" s="272"/>
    </row>
    <row r="24" spans="1:19" s="6" customFormat="1" ht="39" thickBot="1">
      <c r="A24" s="137">
        <v>3</v>
      </c>
      <c r="B24" s="138" t="s">
        <v>33</v>
      </c>
      <c r="C24" s="139" t="s">
        <v>148</v>
      </c>
      <c r="D24" s="140" t="e">
        <f>#REF!+#REF!+D25+#REF!+#REF!</f>
        <v>#REF!</v>
      </c>
      <c r="E24" s="140" t="e">
        <f>#REF!+#REF!+E25+#REF!+#REF!</f>
        <v>#REF!</v>
      </c>
      <c r="F24" s="140" t="e">
        <f>#REF!+#REF!+F25+#REF!+#REF!</f>
        <v>#REF!</v>
      </c>
      <c r="G24" s="140">
        <f aca="true" t="shared" si="6" ref="G24:L24">G29+G33</f>
        <v>9275.4</v>
      </c>
      <c r="H24" s="140">
        <f t="shared" si="6"/>
        <v>6457.7</v>
      </c>
      <c r="I24" s="140">
        <f t="shared" si="6"/>
        <v>10024</v>
      </c>
      <c r="J24" s="141">
        <f t="shared" si="6"/>
        <v>6746</v>
      </c>
      <c r="K24" s="157">
        <f t="shared" si="6"/>
        <v>7137.268</v>
      </c>
      <c r="L24" s="158">
        <f t="shared" si="6"/>
        <v>7529.81774</v>
      </c>
      <c r="M24" s="160">
        <f>M29+M33</f>
        <v>2247.6666666666665</v>
      </c>
      <c r="N24" s="160">
        <f>N29+N33</f>
        <v>2247.6666666666665</v>
      </c>
      <c r="O24" s="160">
        <f>O29+O33</f>
        <v>2247.6666666666665</v>
      </c>
      <c r="P24" s="160">
        <f>P29+P33</f>
        <v>3</v>
      </c>
      <c r="S24" s="272"/>
    </row>
    <row r="25" spans="1:19" s="6" customFormat="1" ht="30" customHeight="1" hidden="1">
      <c r="A25" s="161"/>
      <c r="B25" s="162" t="s">
        <v>273</v>
      </c>
      <c r="C25" s="163" t="s">
        <v>274</v>
      </c>
      <c r="D25" s="148">
        <f>D30</f>
        <v>5500</v>
      </c>
      <c r="E25" s="148">
        <f>E30</f>
        <v>3350.4</v>
      </c>
      <c r="F25" s="148">
        <f>F30</f>
        <v>5025.6</v>
      </c>
      <c r="G25" s="155"/>
      <c r="H25" s="148">
        <f>H26</f>
        <v>0</v>
      </c>
      <c r="I25" s="148">
        <f>H25/8*12</f>
        <v>0</v>
      </c>
      <c r="J25" s="149">
        <f t="shared" si="2"/>
        <v>0</v>
      </c>
      <c r="K25" s="153">
        <f t="shared" si="2"/>
        <v>0</v>
      </c>
      <c r="L25" s="154">
        <f t="shared" si="3"/>
        <v>0</v>
      </c>
      <c r="M25" s="152">
        <f aca="true" t="shared" si="7" ref="M25:P28">L25*1.058</f>
        <v>0</v>
      </c>
      <c r="N25" s="152">
        <f t="shared" si="7"/>
        <v>0</v>
      </c>
      <c r="O25" s="152">
        <f t="shared" si="7"/>
        <v>0</v>
      </c>
      <c r="P25" s="152">
        <f t="shared" si="7"/>
        <v>0</v>
      </c>
      <c r="S25" s="272"/>
    </row>
    <row r="26" spans="1:19" s="6" customFormat="1" ht="57.75" customHeight="1" hidden="1">
      <c r="A26" s="161"/>
      <c r="B26" s="162" t="s">
        <v>275</v>
      </c>
      <c r="C26" s="163" t="s">
        <v>276</v>
      </c>
      <c r="D26" s="148">
        <f>D30</f>
        <v>5500</v>
      </c>
      <c r="E26" s="148">
        <f>E30</f>
        <v>3350.4</v>
      </c>
      <c r="F26" s="148">
        <f>F30</f>
        <v>5025.6</v>
      </c>
      <c r="G26" s="155"/>
      <c r="H26" s="148">
        <f>H27</f>
        <v>0</v>
      </c>
      <c r="I26" s="148">
        <f>H26/8*12</f>
        <v>0</v>
      </c>
      <c r="J26" s="149">
        <f t="shared" si="2"/>
        <v>0</v>
      </c>
      <c r="K26" s="153">
        <f t="shared" si="2"/>
        <v>0</v>
      </c>
      <c r="L26" s="154">
        <f t="shared" si="3"/>
        <v>0</v>
      </c>
      <c r="M26" s="152">
        <f t="shared" si="7"/>
        <v>0</v>
      </c>
      <c r="N26" s="152">
        <f t="shared" si="7"/>
        <v>0</v>
      </c>
      <c r="O26" s="152">
        <f t="shared" si="7"/>
        <v>0</v>
      </c>
      <c r="P26" s="152">
        <f t="shared" si="7"/>
        <v>0</v>
      </c>
      <c r="S26" s="272"/>
    </row>
    <row r="27" spans="1:19" s="6" customFormat="1" ht="36" customHeight="1" hidden="1">
      <c r="A27" s="161"/>
      <c r="B27" s="162" t="s">
        <v>277</v>
      </c>
      <c r="C27" s="163" t="s">
        <v>278</v>
      </c>
      <c r="D27" s="148">
        <f>D30</f>
        <v>5500</v>
      </c>
      <c r="E27" s="148">
        <v>3350.4</v>
      </c>
      <c r="F27" s="148">
        <f>F30</f>
        <v>5025.6</v>
      </c>
      <c r="G27" s="155"/>
      <c r="H27" s="148">
        <f>H28</f>
        <v>0</v>
      </c>
      <c r="I27" s="148">
        <f>H27/8*12</f>
        <v>0</v>
      </c>
      <c r="J27" s="149">
        <f t="shared" si="2"/>
        <v>0</v>
      </c>
      <c r="K27" s="153">
        <f t="shared" si="2"/>
        <v>0</v>
      </c>
      <c r="L27" s="154">
        <f t="shared" si="3"/>
        <v>0</v>
      </c>
      <c r="M27" s="152">
        <f t="shared" si="7"/>
        <v>0</v>
      </c>
      <c r="N27" s="152">
        <f t="shared" si="7"/>
        <v>0</v>
      </c>
      <c r="O27" s="152">
        <f t="shared" si="7"/>
        <v>0</v>
      </c>
      <c r="P27" s="152">
        <f t="shared" si="7"/>
        <v>0</v>
      </c>
      <c r="S27" s="272"/>
    </row>
    <row r="28" spans="1:19" s="6" customFormat="1" ht="51" hidden="1">
      <c r="A28" s="161"/>
      <c r="B28" s="162" t="s">
        <v>279</v>
      </c>
      <c r="C28" s="163" t="s">
        <v>280</v>
      </c>
      <c r="D28" s="148">
        <v>5500</v>
      </c>
      <c r="E28" s="148">
        <v>3350.4</v>
      </c>
      <c r="F28" s="148">
        <f>E28/8*12</f>
        <v>5025.6</v>
      </c>
      <c r="G28" s="155"/>
      <c r="H28" s="148">
        <f>G28*1.05</f>
        <v>0</v>
      </c>
      <c r="I28" s="148">
        <f>H28/8*12</f>
        <v>0</v>
      </c>
      <c r="J28" s="149">
        <f t="shared" si="2"/>
        <v>0</v>
      </c>
      <c r="K28" s="153">
        <f t="shared" si="2"/>
        <v>0</v>
      </c>
      <c r="L28" s="154">
        <f t="shared" si="3"/>
        <v>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S28" s="272"/>
    </row>
    <row r="29" spans="1:19" s="6" customFormat="1" ht="64.5" customHeight="1">
      <c r="A29" s="145" t="s">
        <v>78</v>
      </c>
      <c r="B29" s="164" t="s">
        <v>160</v>
      </c>
      <c r="C29" s="147" t="s">
        <v>194</v>
      </c>
      <c r="D29" s="140"/>
      <c r="E29" s="140"/>
      <c r="F29" s="140"/>
      <c r="G29" s="148">
        <f aca="true" t="shared" si="8" ref="G29:I31">G30</f>
        <v>9251.4</v>
      </c>
      <c r="H29" s="148">
        <f t="shared" si="8"/>
        <v>6445.7</v>
      </c>
      <c r="I29" s="148">
        <f t="shared" si="8"/>
        <v>10000</v>
      </c>
      <c r="J29" s="149">
        <f>J30</f>
        <v>6734</v>
      </c>
      <c r="K29" s="153">
        <f t="shared" si="2"/>
        <v>7124.572</v>
      </c>
      <c r="L29" s="154">
        <f t="shared" si="3"/>
        <v>7516.42346</v>
      </c>
      <c r="M29" s="152">
        <f aca="true" t="shared" si="9" ref="M29:P31">M30</f>
        <v>2244.6666666666665</v>
      </c>
      <c r="N29" s="152">
        <f t="shared" si="9"/>
        <v>2244.6666666666665</v>
      </c>
      <c r="O29" s="152">
        <f t="shared" si="9"/>
        <v>2244.6666666666665</v>
      </c>
      <c r="P29" s="152">
        <f t="shared" si="9"/>
        <v>0</v>
      </c>
      <c r="S29" s="272"/>
    </row>
    <row r="30" spans="1:19" s="6" customFormat="1" ht="64.5" customHeight="1">
      <c r="A30" s="145" t="s">
        <v>79</v>
      </c>
      <c r="B30" s="164" t="s">
        <v>161</v>
      </c>
      <c r="C30" s="147" t="s">
        <v>149</v>
      </c>
      <c r="D30" s="148">
        <v>5500</v>
      </c>
      <c r="E30" s="148">
        <v>3350.4</v>
      </c>
      <c r="F30" s="148">
        <f>E30/8*12</f>
        <v>5025.6</v>
      </c>
      <c r="G30" s="148">
        <f t="shared" si="8"/>
        <v>9251.4</v>
      </c>
      <c r="H30" s="148">
        <f t="shared" si="8"/>
        <v>6445.7</v>
      </c>
      <c r="I30" s="148">
        <f>I31</f>
        <v>10000</v>
      </c>
      <c r="J30" s="149">
        <f>J31</f>
        <v>6734</v>
      </c>
      <c r="K30" s="153">
        <f t="shared" si="2"/>
        <v>7124.572</v>
      </c>
      <c r="L30" s="154">
        <f t="shared" si="3"/>
        <v>7516.42346</v>
      </c>
      <c r="M30" s="152">
        <f t="shared" si="9"/>
        <v>2244.6666666666665</v>
      </c>
      <c r="N30" s="152">
        <f t="shared" si="9"/>
        <v>2244.6666666666665</v>
      </c>
      <c r="O30" s="152">
        <f t="shared" si="9"/>
        <v>2244.6666666666665</v>
      </c>
      <c r="P30" s="152">
        <f t="shared" si="9"/>
        <v>0</v>
      </c>
      <c r="S30" s="272"/>
    </row>
    <row r="31" spans="1:19" s="6" customFormat="1" ht="84" customHeight="1">
      <c r="A31" s="145" t="s">
        <v>143</v>
      </c>
      <c r="B31" s="164" t="s">
        <v>259</v>
      </c>
      <c r="C31" s="147" t="s">
        <v>150</v>
      </c>
      <c r="D31" s="165">
        <f>D32</f>
        <v>3450</v>
      </c>
      <c r="E31" s="165">
        <f>E32</f>
        <v>1791.7</v>
      </c>
      <c r="F31" s="165">
        <f>F32</f>
        <v>2090</v>
      </c>
      <c r="G31" s="148">
        <f>G32</f>
        <v>9251.4</v>
      </c>
      <c r="H31" s="148">
        <f t="shared" si="8"/>
        <v>6445.7</v>
      </c>
      <c r="I31" s="148">
        <f>I32</f>
        <v>10000</v>
      </c>
      <c r="J31" s="149">
        <f>J32</f>
        <v>6734</v>
      </c>
      <c r="K31" s="153">
        <f t="shared" si="2"/>
        <v>7124.572</v>
      </c>
      <c r="L31" s="154">
        <f t="shared" si="3"/>
        <v>7516.42346</v>
      </c>
      <c r="M31" s="152">
        <f t="shared" si="9"/>
        <v>2244.6666666666665</v>
      </c>
      <c r="N31" s="152">
        <f t="shared" si="9"/>
        <v>2244.6666666666665</v>
      </c>
      <c r="O31" s="152">
        <f t="shared" si="9"/>
        <v>2244.6666666666665</v>
      </c>
      <c r="P31" s="152">
        <f t="shared" si="9"/>
        <v>0</v>
      </c>
      <c r="S31" s="272"/>
    </row>
    <row r="32" spans="1:19" s="6" customFormat="1" ht="64.5" customHeight="1">
      <c r="A32" s="145" t="s">
        <v>260</v>
      </c>
      <c r="B32" s="164" t="s">
        <v>222</v>
      </c>
      <c r="C32" s="147" t="s">
        <v>71</v>
      </c>
      <c r="D32" s="166">
        <f>D33</f>
        <v>3450</v>
      </c>
      <c r="E32" s="166">
        <f>E33</f>
        <v>1791.7</v>
      </c>
      <c r="F32" s="166">
        <f>F33</f>
        <v>2090</v>
      </c>
      <c r="G32" s="148">
        <f>9214.3+37.1</f>
        <v>9251.4</v>
      </c>
      <c r="H32" s="166">
        <v>6445.7</v>
      </c>
      <c r="I32" s="148">
        <v>10000</v>
      </c>
      <c r="J32" s="149">
        <v>6734</v>
      </c>
      <c r="K32" s="153">
        <f t="shared" si="2"/>
        <v>7124.572</v>
      </c>
      <c r="L32" s="154">
        <f t="shared" si="3"/>
        <v>7516.42346</v>
      </c>
      <c r="M32" s="152">
        <f>J32/3</f>
        <v>2244.6666666666665</v>
      </c>
      <c r="N32" s="152">
        <f>J32/3</f>
        <v>2244.6666666666665</v>
      </c>
      <c r="O32" s="152">
        <f>J32/3</f>
        <v>2244.6666666666665</v>
      </c>
      <c r="P32" s="152">
        <v>0</v>
      </c>
      <c r="S32" s="272"/>
    </row>
    <row r="33" spans="1:19" s="6" customFormat="1" ht="31.5" customHeight="1">
      <c r="A33" s="145" t="s">
        <v>261</v>
      </c>
      <c r="B33" s="164" t="s">
        <v>262</v>
      </c>
      <c r="C33" s="147" t="s">
        <v>293</v>
      </c>
      <c r="D33" s="148">
        <f>D34</f>
        <v>3450</v>
      </c>
      <c r="E33" s="148">
        <f>E34</f>
        <v>1791.7</v>
      </c>
      <c r="F33" s="148">
        <v>2090</v>
      </c>
      <c r="G33" s="148">
        <f aca="true" t="shared" si="10" ref="G33:P33">G34</f>
        <v>24</v>
      </c>
      <c r="H33" s="148">
        <f t="shared" si="10"/>
        <v>12</v>
      </c>
      <c r="I33" s="148">
        <f t="shared" si="10"/>
        <v>24</v>
      </c>
      <c r="J33" s="149">
        <f t="shared" si="10"/>
        <v>12</v>
      </c>
      <c r="K33" s="167">
        <f t="shared" si="10"/>
        <v>12.696000000000002</v>
      </c>
      <c r="L33" s="168">
        <f t="shared" si="10"/>
        <v>13.39428</v>
      </c>
      <c r="M33" s="152">
        <f t="shared" si="10"/>
        <v>3</v>
      </c>
      <c r="N33" s="152">
        <f t="shared" si="10"/>
        <v>3</v>
      </c>
      <c r="O33" s="152">
        <f t="shared" si="10"/>
        <v>3</v>
      </c>
      <c r="P33" s="152">
        <f t="shared" si="10"/>
        <v>3</v>
      </c>
      <c r="S33" s="272"/>
    </row>
    <row r="34" spans="1:19" s="6" customFormat="1" ht="77.25" customHeight="1">
      <c r="A34" s="145" t="s">
        <v>263</v>
      </c>
      <c r="B34" s="164" t="s">
        <v>264</v>
      </c>
      <c r="C34" s="147" t="s">
        <v>340</v>
      </c>
      <c r="D34" s="166">
        <v>3450</v>
      </c>
      <c r="E34" s="166">
        <v>1791.7</v>
      </c>
      <c r="F34" s="166">
        <v>2090</v>
      </c>
      <c r="G34" s="148">
        <v>24</v>
      </c>
      <c r="H34" s="166">
        <v>12</v>
      </c>
      <c r="I34" s="148">
        <v>24</v>
      </c>
      <c r="J34" s="149">
        <v>12</v>
      </c>
      <c r="K34" s="153">
        <f t="shared" si="2"/>
        <v>12.696000000000002</v>
      </c>
      <c r="L34" s="154">
        <f t="shared" si="3"/>
        <v>13.39428</v>
      </c>
      <c r="M34" s="152">
        <f>J34/4</f>
        <v>3</v>
      </c>
      <c r="N34" s="152">
        <f>J34/4</f>
        <v>3</v>
      </c>
      <c r="O34" s="152">
        <f>J34/4</f>
        <v>3</v>
      </c>
      <c r="P34" s="152">
        <f>J34/4</f>
        <v>3</v>
      </c>
      <c r="S34" s="272"/>
    </row>
    <row r="35" spans="1:19" s="6" customFormat="1" ht="26.25" hidden="1" thickBot="1">
      <c r="A35" s="169">
        <v>4</v>
      </c>
      <c r="B35" s="170" t="s">
        <v>69</v>
      </c>
      <c r="C35" s="171" t="s">
        <v>223</v>
      </c>
      <c r="D35" s="165">
        <f>D36</f>
        <v>140</v>
      </c>
      <c r="E35" s="165">
        <f aca="true" t="shared" si="11" ref="E35:H37">E36</f>
        <v>88</v>
      </c>
      <c r="F35" s="165">
        <f t="shared" si="11"/>
        <v>132</v>
      </c>
      <c r="G35" s="165">
        <f t="shared" si="11"/>
        <v>0</v>
      </c>
      <c r="H35" s="165">
        <f t="shared" si="11"/>
        <v>0</v>
      </c>
      <c r="I35" s="148">
        <f>H35/8*12</f>
        <v>0</v>
      </c>
      <c r="J35" s="149">
        <f t="shared" si="2"/>
        <v>0</v>
      </c>
      <c r="K35" s="153">
        <f t="shared" si="2"/>
        <v>0</v>
      </c>
      <c r="L35" s="154">
        <f t="shared" si="3"/>
        <v>0</v>
      </c>
      <c r="M35" s="152"/>
      <c r="N35" s="152"/>
      <c r="O35" s="152"/>
      <c r="P35" s="152"/>
      <c r="S35" s="272"/>
    </row>
    <row r="36" spans="1:19" s="6" customFormat="1" ht="31.5" customHeight="1" hidden="1">
      <c r="A36" s="172" t="s">
        <v>80</v>
      </c>
      <c r="B36" s="173" t="s">
        <v>224</v>
      </c>
      <c r="C36" s="174" t="s">
        <v>225</v>
      </c>
      <c r="D36" s="148">
        <f>D37</f>
        <v>140</v>
      </c>
      <c r="E36" s="148">
        <f t="shared" si="11"/>
        <v>88</v>
      </c>
      <c r="F36" s="148">
        <f t="shared" si="11"/>
        <v>132</v>
      </c>
      <c r="G36" s="166">
        <f t="shared" si="11"/>
        <v>0</v>
      </c>
      <c r="H36" s="148"/>
      <c r="I36" s="148">
        <f>H36/8*12</f>
        <v>0</v>
      </c>
      <c r="J36" s="149">
        <f t="shared" si="2"/>
        <v>0</v>
      </c>
      <c r="K36" s="153">
        <f t="shared" si="2"/>
        <v>0</v>
      </c>
      <c r="L36" s="154">
        <f t="shared" si="3"/>
        <v>0</v>
      </c>
      <c r="M36" s="152"/>
      <c r="N36" s="152"/>
      <c r="O36" s="152"/>
      <c r="P36" s="152"/>
      <c r="S36" s="272"/>
    </row>
    <row r="37" spans="1:19" s="5" customFormat="1" ht="44.25" customHeight="1" hidden="1">
      <c r="A37" s="172" t="s">
        <v>81</v>
      </c>
      <c r="B37" s="173" t="s">
        <v>226</v>
      </c>
      <c r="C37" s="174" t="s">
        <v>227</v>
      </c>
      <c r="D37" s="148">
        <f>D38+D43</f>
        <v>140</v>
      </c>
      <c r="E37" s="148">
        <v>88</v>
      </c>
      <c r="F37" s="148">
        <f>E37/8*12</f>
        <v>132</v>
      </c>
      <c r="G37" s="166">
        <f t="shared" si="11"/>
        <v>0</v>
      </c>
      <c r="H37" s="148"/>
      <c r="I37" s="148">
        <f>H37/8*12</f>
        <v>0</v>
      </c>
      <c r="J37" s="149">
        <f t="shared" si="2"/>
        <v>0</v>
      </c>
      <c r="K37" s="153">
        <f t="shared" si="2"/>
        <v>0</v>
      </c>
      <c r="L37" s="154">
        <f t="shared" si="3"/>
        <v>0</v>
      </c>
      <c r="M37" s="152"/>
      <c r="N37" s="152"/>
      <c r="O37" s="152"/>
      <c r="P37" s="152"/>
      <c r="S37" s="273"/>
    </row>
    <row r="38" spans="1:19" s="5" customFormat="1" ht="76.5" customHeight="1" hidden="1" thickBot="1">
      <c r="A38" s="172" t="s">
        <v>82</v>
      </c>
      <c r="B38" s="173" t="s">
        <v>228</v>
      </c>
      <c r="C38" s="174" t="s">
        <v>153</v>
      </c>
      <c r="D38" s="148">
        <v>125</v>
      </c>
      <c r="E38" s="148">
        <v>88</v>
      </c>
      <c r="F38" s="148">
        <f>E38/8*12</f>
        <v>132</v>
      </c>
      <c r="G38" s="166">
        <v>0</v>
      </c>
      <c r="H38" s="148"/>
      <c r="I38" s="148">
        <f>H38/8*12</f>
        <v>0</v>
      </c>
      <c r="J38" s="149">
        <f t="shared" si="2"/>
        <v>0</v>
      </c>
      <c r="K38" s="153">
        <f t="shared" si="2"/>
        <v>0</v>
      </c>
      <c r="L38" s="154">
        <f t="shared" si="3"/>
        <v>0</v>
      </c>
      <c r="M38" s="152"/>
      <c r="N38" s="152"/>
      <c r="O38" s="152"/>
      <c r="P38" s="152"/>
      <c r="S38" s="273"/>
    </row>
    <row r="39" spans="1:19" s="5" customFormat="1" ht="43.5" customHeight="1">
      <c r="A39" s="175" t="s">
        <v>265</v>
      </c>
      <c r="B39" s="170" t="s">
        <v>69</v>
      </c>
      <c r="C39" s="176" t="s">
        <v>324</v>
      </c>
      <c r="D39" s="148">
        <v>15</v>
      </c>
      <c r="E39" s="148">
        <v>0</v>
      </c>
      <c r="F39" s="148">
        <v>15</v>
      </c>
      <c r="G39" s="177">
        <f aca="true" t="shared" si="12" ref="G39:L41">G40</f>
        <v>0</v>
      </c>
      <c r="H39" s="177">
        <f t="shared" si="12"/>
        <v>0</v>
      </c>
      <c r="I39" s="177">
        <f t="shared" si="12"/>
        <v>1402.9</v>
      </c>
      <c r="J39" s="177">
        <f>J40+J44</f>
        <v>798.6</v>
      </c>
      <c r="K39" s="177">
        <f t="shared" si="12"/>
        <v>557.1428000000001</v>
      </c>
      <c r="L39" s="177">
        <f t="shared" si="12"/>
        <v>587.785654</v>
      </c>
      <c r="M39" s="178"/>
      <c r="N39" s="178"/>
      <c r="O39" s="178"/>
      <c r="P39" s="178"/>
      <c r="S39" s="273"/>
    </row>
    <row r="40" spans="1:19" s="5" customFormat="1" ht="31.5" customHeight="1">
      <c r="A40" s="179" t="s">
        <v>80</v>
      </c>
      <c r="B40" s="164" t="s">
        <v>325</v>
      </c>
      <c r="C40" s="180" t="s">
        <v>326</v>
      </c>
      <c r="D40" s="148" t="e">
        <f>D41+#REF!</f>
        <v>#REF!</v>
      </c>
      <c r="E40" s="148" t="e">
        <f>E41+#REF!</f>
        <v>#REF!</v>
      </c>
      <c r="F40" s="148" t="e">
        <f>F41+#REF!</f>
        <v>#REF!</v>
      </c>
      <c r="G40" s="149">
        <f t="shared" si="12"/>
        <v>0</v>
      </c>
      <c r="H40" s="149">
        <f t="shared" si="12"/>
        <v>0</v>
      </c>
      <c r="I40" s="149">
        <f t="shared" si="12"/>
        <v>1402.9</v>
      </c>
      <c r="J40" s="149">
        <f t="shared" si="12"/>
        <v>526.6</v>
      </c>
      <c r="K40" s="141">
        <f t="shared" si="12"/>
        <v>557.1428000000001</v>
      </c>
      <c r="L40" s="141">
        <f t="shared" si="12"/>
        <v>587.785654</v>
      </c>
      <c r="M40" s="178"/>
      <c r="N40" s="178"/>
      <c r="O40" s="178"/>
      <c r="P40" s="178"/>
      <c r="R40" s="266">
        <f>(J9+J50)*0.233</f>
        <v>21211.807399999998</v>
      </c>
      <c r="S40" s="273"/>
    </row>
    <row r="41" spans="1:19" s="5" customFormat="1" ht="45" customHeight="1">
      <c r="A41" s="179" t="s">
        <v>81</v>
      </c>
      <c r="B41" s="164" t="s">
        <v>327</v>
      </c>
      <c r="C41" s="181" t="s">
        <v>328</v>
      </c>
      <c r="D41" s="165">
        <f>D42+D51+D48</f>
        <v>11683.4</v>
      </c>
      <c r="E41" s="165">
        <f>E42+E51+E48</f>
        <v>8755.2</v>
      </c>
      <c r="F41" s="165">
        <f>F42+F51+F48</f>
        <v>11683.4</v>
      </c>
      <c r="G41" s="149">
        <f>G42</f>
        <v>0</v>
      </c>
      <c r="H41" s="149">
        <f>H42</f>
        <v>0</v>
      </c>
      <c r="I41" s="149">
        <f t="shared" si="12"/>
        <v>1402.9</v>
      </c>
      <c r="J41" s="149">
        <f t="shared" si="12"/>
        <v>526.6</v>
      </c>
      <c r="K41" s="149">
        <f t="shared" si="12"/>
        <v>557.1428000000001</v>
      </c>
      <c r="L41" s="149">
        <f t="shared" si="12"/>
        <v>587.785654</v>
      </c>
      <c r="M41" s="178"/>
      <c r="N41" s="178"/>
      <c r="O41" s="178"/>
      <c r="P41" s="178"/>
      <c r="S41" s="273"/>
    </row>
    <row r="42" spans="1:19" s="4" customFormat="1" ht="73.5" customHeight="1">
      <c r="A42" s="179" t="s">
        <v>82</v>
      </c>
      <c r="B42" s="164" t="s">
        <v>329</v>
      </c>
      <c r="C42" s="181" t="s">
        <v>153</v>
      </c>
      <c r="D42" s="182">
        <f>D47</f>
        <v>5841.7</v>
      </c>
      <c r="E42" s="182">
        <f>E47</f>
        <v>4377.6</v>
      </c>
      <c r="F42" s="182">
        <f>F47</f>
        <v>5841.7</v>
      </c>
      <c r="G42" s="149">
        <v>0</v>
      </c>
      <c r="H42" s="149">
        <v>0</v>
      </c>
      <c r="I42" s="149">
        <v>1402.9</v>
      </c>
      <c r="J42" s="149">
        <v>526.6</v>
      </c>
      <c r="K42" s="149">
        <f>J42*1.058</f>
        <v>557.1428000000001</v>
      </c>
      <c r="L42" s="149">
        <f>K42*1.055</f>
        <v>587.785654</v>
      </c>
      <c r="M42" s="183"/>
      <c r="N42" s="183"/>
      <c r="O42" s="183"/>
      <c r="P42" s="183"/>
      <c r="S42" s="271"/>
    </row>
    <row r="43" spans="1:19" s="5" customFormat="1" ht="24.75" customHeight="1" hidden="1" thickBot="1">
      <c r="A43" s="137" t="s">
        <v>265</v>
      </c>
      <c r="B43" s="138" t="s">
        <v>35</v>
      </c>
      <c r="C43" s="139" t="s">
        <v>34</v>
      </c>
      <c r="D43" s="184">
        <v>15</v>
      </c>
      <c r="E43" s="184">
        <v>0</v>
      </c>
      <c r="F43" s="184">
        <v>15</v>
      </c>
      <c r="G43" s="140">
        <f aca="true" t="shared" si="13" ref="G43:P44">G44</f>
        <v>30</v>
      </c>
      <c r="H43" s="140">
        <f t="shared" si="13"/>
        <v>19.8</v>
      </c>
      <c r="I43" s="140">
        <f t="shared" si="13"/>
        <v>35</v>
      </c>
      <c r="J43" s="141">
        <f t="shared" si="13"/>
        <v>272</v>
      </c>
      <c r="K43" s="185">
        <f t="shared" si="13"/>
        <v>287.776</v>
      </c>
      <c r="L43" s="186">
        <f t="shared" si="13"/>
        <v>303.60368</v>
      </c>
      <c r="M43" s="144">
        <f t="shared" si="13"/>
        <v>68</v>
      </c>
      <c r="N43" s="144">
        <f t="shared" si="13"/>
        <v>68</v>
      </c>
      <c r="O43" s="144">
        <f t="shared" si="13"/>
        <v>68</v>
      </c>
      <c r="P43" s="144">
        <f t="shared" si="13"/>
        <v>68</v>
      </c>
      <c r="S43" s="273"/>
    </row>
    <row r="44" spans="1:19" s="5" customFormat="1" ht="30" customHeight="1">
      <c r="A44" s="145" t="s">
        <v>336</v>
      </c>
      <c r="B44" s="164" t="s">
        <v>62</v>
      </c>
      <c r="C44" s="187" t="s">
        <v>66</v>
      </c>
      <c r="D44" s="132" t="e">
        <f>D45+#REF!</f>
        <v>#REF!</v>
      </c>
      <c r="E44" s="132" t="e">
        <f>E45+#REF!</f>
        <v>#REF!</v>
      </c>
      <c r="F44" s="132" t="e">
        <f>F45+#REF!</f>
        <v>#REF!</v>
      </c>
      <c r="G44" s="148">
        <f t="shared" si="13"/>
        <v>30</v>
      </c>
      <c r="H44" s="148">
        <f t="shared" si="13"/>
        <v>19.8</v>
      </c>
      <c r="I44" s="148">
        <f t="shared" si="13"/>
        <v>35</v>
      </c>
      <c r="J44" s="149">
        <f t="shared" si="13"/>
        <v>272</v>
      </c>
      <c r="K44" s="188">
        <f t="shared" si="13"/>
        <v>287.776</v>
      </c>
      <c r="L44" s="151">
        <f t="shared" si="13"/>
        <v>303.60368</v>
      </c>
      <c r="M44" s="152">
        <f t="shared" si="13"/>
        <v>68</v>
      </c>
      <c r="N44" s="152">
        <f t="shared" si="13"/>
        <v>68</v>
      </c>
      <c r="O44" s="152">
        <f t="shared" si="13"/>
        <v>68</v>
      </c>
      <c r="P44" s="152">
        <f t="shared" si="13"/>
        <v>68</v>
      </c>
      <c r="S44" s="273"/>
    </row>
    <row r="45" spans="1:19" s="5" customFormat="1" ht="57" customHeight="1">
      <c r="A45" s="145" t="s">
        <v>337</v>
      </c>
      <c r="B45" s="164" t="s">
        <v>65</v>
      </c>
      <c r="C45" s="187" t="s">
        <v>335</v>
      </c>
      <c r="D45" s="165">
        <f>D46+D52+D49</f>
        <v>6635.2</v>
      </c>
      <c r="E45" s="165">
        <f>E46+E52+E49</f>
        <v>4901.8</v>
      </c>
      <c r="F45" s="165">
        <f>F46+F52+F49</f>
        <v>6635.2</v>
      </c>
      <c r="G45" s="148">
        <f aca="true" t="shared" si="14" ref="G45:L45">G46+G47</f>
        <v>30</v>
      </c>
      <c r="H45" s="148">
        <f t="shared" si="14"/>
        <v>19.8</v>
      </c>
      <c r="I45" s="148">
        <f t="shared" si="14"/>
        <v>35</v>
      </c>
      <c r="J45" s="149">
        <f t="shared" si="14"/>
        <v>272</v>
      </c>
      <c r="K45" s="189">
        <f t="shared" si="14"/>
        <v>287.776</v>
      </c>
      <c r="L45" s="190">
        <f t="shared" si="14"/>
        <v>303.60368</v>
      </c>
      <c r="M45" s="152">
        <f>M46+M47</f>
        <v>68</v>
      </c>
      <c r="N45" s="152">
        <f>N46+N47</f>
        <v>68</v>
      </c>
      <c r="O45" s="152">
        <f>O46+O47</f>
        <v>68</v>
      </c>
      <c r="P45" s="152">
        <f>P46+P47</f>
        <v>68</v>
      </c>
      <c r="Q45" s="116"/>
      <c r="S45" s="273"/>
    </row>
    <row r="46" spans="1:19" s="4" customFormat="1" ht="53.25" customHeight="1" thickBot="1">
      <c r="A46" s="145" t="s">
        <v>338</v>
      </c>
      <c r="B46" s="146" t="s">
        <v>163</v>
      </c>
      <c r="C46" s="187" t="s">
        <v>195</v>
      </c>
      <c r="D46" s="182">
        <f>D48</f>
        <v>5841.7</v>
      </c>
      <c r="E46" s="182">
        <f>E48</f>
        <v>4377.6</v>
      </c>
      <c r="F46" s="182">
        <f>F48</f>
        <v>5841.7</v>
      </c>
      <c r="G46" s="148">
        <v>20</v>
      </c>
      <c r="H46" s="148">
        <v>19.8</v>
      </c>
      <c r="I46" s="148">
        <v>30</v>
      </c>
      <c r="J46" s="149">
        <f>10+262</f>
        <v>272</v>
      </c>
      <c r="K46" s="153">
        <f t="shared" si="2"/>
        <v>287.776</v>
      </c>
      <c r="L46" s="154">
        <f t="shared" si="3"/>
        <v>303.60368</v>
      </c>
      <c r="M46" s="152">
        <f>J46/4</f>
        <v>68</v>
      </c>
      <c r="N46" s="152">
        <f>J46/4</f>
        <v>68</v>
      </c>
      <c r="O46" s="152">
        <f>J46/4</f>
        <v>68</v>
      </c>
      <c r="P46" s="152">
        <f>J46/4</f>
        <v>68</v>
      </c>
      <c r="S46" s="271"/>
    </row>
    <row r="47" spans="1:19" s="6" customFormat="1" ht="61.5" customHeight="1" hidden="1" thickBot="1">
      <c r="A47" s="145" t="s">
        <v>339</v>
      </c>
      <c r="B47" s="146" t="s">
        <v>171</v>
      </c>
      <c r="C47" s="147" t="s">
        <v>196</v>
      </c>
      <c r="D47" s="182">
        <f>D48</f>
        <v>5841.7</v>
      </c>
      <c r="E47" s="182">
        <f>E48</f>
        <v>4377.6</v>
      </c>
      <c r="F47" s="182">
        <f>F48</f>
        <v>5841.7</v>
      </c>
      <c r="G47" s="148">
        <v>10</v>
      </c>
      <c r="H47" s="148">
        <v>0</v>
      </c>
      <c r="I47" s="148">
        <v>5</v>
      </c>
      <c r="J47" s="149">
        <v>0</v>
      </c>
      <c r="K47" s="153">
        <f t="shared" si="2"/>
        <v>0</v>
      </c>
      <c r="L47" s="154">
        <f t="shared" si="3"/>
        <v>0</v>
      </c>
      <c r="M47" s="148">
        <v>0</v>
      </c>
      <c r="N47" s="148">
        <v>0</v>
      </c>
      <c r="O47" s="148">
        <v>0</v>
      </c>
      <c r="P47" s="148">
        <v>0</v>
      </c>
      <c r="S47" s="272"/>
    </row>
    <row r="48" spans="1:19" s="6" customFormat="1" ht="50.25" customHeight="1" thickBot="1">
      <c r="A48" s="129" t="s">
        <v>61</v>
      </c>
      <c r="B48" s="130" t="s">
        <v>36</v>
      </c>
      <c r="C48" s="131" t="s">
        <v>164</v>
      </c>
      <c r="D48" s="191">
        <v>5841.7</v>
      </c>
      <c r="E48" s="191">
        <v>4377.6</v>
      </c>
      <c r="F48" s="191">
        <v>5841.7</v>
      </c>
      <c r="G48" s="132">
        <f aca="true" t="shared" si="15" ref="G48:P48">G49</f>
        <v>22002.800000000003</v>
      </c>
      <c r="H48" s="132">
        <f t="shared" si="15"/>
        <v>6463.3</v>
      </c>
      <c r="I48" s="132">
        <f t="shared" si="15"/>
        <v>19569.800000000003</v>
      </c>
      <c r="J48" s="133">
        <f t="shared" si="15"/>
        <v>66122.9</v>
      </c>
      <c r="K48" s="192">
        <f t="shared" si="15"/>
        <v>60474.2</v>
      </c>
      <c r="L48" s="193">
        <f t="shared" si="15"/>
        <v>60616</v>
      </c>
      <c r="M48" s="136">
        <f t="shared" si="15"/>
        <v>16530.725</v>
      </c>
      <c r="N48" s="136">
        <f t="shared" si="15"/>
        <v>16530.725</v>
      </c>
      <c r="O48" s="136">
        <f t="shared" si="15"/>
        <v>16530.725</v>
      </c>
      <c r="P48" s="136">
        <f t="shared" si="15"/>
        <v>16530.725</v>
      </c>
      <c r="S48" s="272"/>
    </row>
    <row r="49" spans="1:19" s="6" customFormat="1" ht="42.75" customHeight="1" thickBot="1">
      <c r="A49" s="137">
        <v>5</v>
      </c>
      <c r="B49" s="138" t="s">
        <v>155</v>
      </c>
      <c r="C49" s="139" t="s">
        <v>294</v>
      </c>
      <c r="D49" s="140">
        <v>0</v>
      </c>
      <c r="E49" s="140">
        <v>0</v>
      </c>
      <c r="F49" s="140">
        <v>0</v>
      </c>
      <c r="G49" s="140">
        <f aca="true" t="shared" si="16" ref="G49:P49">G50+G56+G53</f>
        <v>22002.800000000003</v>
      </c>
      <c r="H49" s="140">
        <f t="shared" si="16"/>
        <v>6463.3</v>
      </c>
      <c r="I49" s="140">
        <f t="shared" si="16"/>
        <v>19569.800000000003</v>
      </c>
      <c r="J49" s="141">
        <f>J50+J56+J53</f>
        <v>66122.9</v>
      </c>
      <c r="K49" s="194">
        <f t="shared" si="16"/>
        <v>60474.2</v>
      </c>
      <c r="L49" s="195">
        <f t="shared" si="16"/>
        <v>60616</v>
      </c>
      <c r="M49" s="144">
        <f t="shared" si="16"/>
        <v>16530.725</v>
      </c>
      <c r="N49" s="144">
        <f t="shared" si="16"/>
        <v>16530.725</v>
      </c>
      <c r="O49" s="144">
        <f t="shared" si="16"/>
        <v>16530.725</v>
      </c>
      <c r="P49" s="144">
        <f t="shared" si="16"/>
        <v>16530.725</v>
      </c>
      <c r="S49" s="272"/>
    </row>
    <row r="50" spans="1:19" s="5" customFormat="1" ht="36.75" customHeight="1">
      <c r="A50" s="145" t="s">
        <v>83</v>
      </c>
      <c r="B50" s="146" t="s">
        <v>70</v>
      </c>
      <c r="C50" s="147" t="s">
        <v>156</v>
      </c>
      <c r="D50" s="148">
        <f>D51</f>
        <v>0</v>
      </c>
      <c r="E50" s="148">
        <f>E51</f>
        <v>0</v>
      </c>
      <c r="F50" s="148">
        <f>F51</f>
        <v>0</v>
      </c>
      <c r="G50" s="148">
        <f aca="true" t="shared" si="17" ref="G50:L50">G52</f>
        <v>8472</v>
      </c>
      <c r="H50" s="148">
        <f t="shared" si="17"/>
        <v>5648</v>
      </c>
      <c r="I50" s="148">
        <f>H50/8*12</f>
        <v>8472</v>
      </c>
      <c r="J50" s="149">
        <f t="shared" si="17"/>
        <v>64592.2</v>
      </c>
      <c r="K50" s="196">
        <f t="shared" si="17"/>
        <v>58000</v>
      </c>
      <c r="L50" s="197">
        <f t="shared" si="17"/>
        <v>58000</v>
      </c>
      <c r="M50" s="152">
        <f>M52</f>
        <v>16148.05</v>
      </c>
      <c r="N50" s="152">
        <f>N52</f>
        <v>16148.05</v>
      </c>
      <c r="O50" s="152">
        <f>O52</f>
        <v>16148.05</v>
      </c>
      <c r="P50" s="152">
        <f>P52</f>
        <v>16148.05</v>
      </c>
      <c r="S50" s="273"/>
    </row>
    <row r="51" spans="1:19" s="5" customFormat="1" ht="63" customHeight="1">
      <c r="A51" s="145" t="s">
        <v>87</v>
      </c>
      <c r="B51" s="146" t="s">
        <v>73</v>
      </c>
      <c r="C51" s="147" t="s">
        <v>157</v>
      </c>
      <c r="D51" s="148">
        <v>0</v>
      </c>
      <c r="E51" s="148">
        <v>0</v>
      </c>
      <c r="F51" s="148">
        <v>0</v>
      </c>
      <c r="G51" s="148">
        <f aca="true" t="shared" si="18" ref="G51:P51">G52</f>
        <v>8472</v>
      </c>
      <c r="H51" s="148">
        <f t="shared" si="18"/>
        <v>5648</v>
      </c>
      <c r="I51" s="148">
        <f>H51/8*12</f>
        <v>8472</v>
      </c>
      <c r="J51" s="149">
        <f t="shared" si="18"/>
        <v>64592.2</v>
      </c>
      <c r="K51" s="198">
        <f t="shared" si="18"/>
        <v>58000</v>
      </c>
      <c r="L51" s="199">
        <f t="shared" si="18"/>
        <v>58000</v>
      </c>
      <c r="M51" s="152">
        <f t="shared" si="18"/>
        <v>16148.05</v>
      </c>
      <c r="N51" s="152">
        <f t="shared" si="18"/>
        <v>16148.05</v>
      </c>
      <c r="O51" s="152">
        <f t="shared" si="18"/>
        <v>16148.05</v>
      </c>
      <c r="P51" s="152">
        <f t="shared" si="18"/>
        <v>16148.05</v>
      </c>
      <c r="S51" s="273"/>
    </row>
    <row r="52" spans="1:19" s="5" customFormat="1" ht="57" customHeight="1" thickBot="1">
      <c r="A52" s="145" t="s">
        <v>154</v>
      </c>
      <c r="B52" s="146" t="s">
        <v>72</v>
      </c>
      <c r="C52" s="147" t="s">
        <v>202</v>
      </c>
      <c r="D52" s="200">
        <f>D53+D57</f>
        <v>793.5000000000001</v>
      </c>
      <c r="E52" s="200">
        <f>E53+E57</f>
        <v>524.2</v>
      </c>
      <c r="F52" s="200">
        <f>F53+F57</f>
        <v>793.5000000000001</v>
      </c>
      <c r="G52" s="148">
        <v>8472</v>
      </c>
      <c r="H52" s="148">
        <v>5648</v>
      </c>
      <c r="I52" s="148">
        <f>H52/8*12</f>
        <v>8472</v>
      </c>
      <c r="J52" s="149">
        <v>64592.2</v>
      </c>
      <c r="K52" s="201">
        <v>58000</v>
      </c>
      <c r="L52" s="202">
        <v>58000</v>
      </c>
      <c r="M52" s="152">
        <f>J52/4</f>
        <v>16148.05</v>
      </c>
      <c r="N52" s="152">
        <f>J52/4</f>
        <v>16148.05</v>
      </c>
      <c r="O52" s="152">
        <f>J52/4</f>
        <v>16148.05</v>
      </c>
      <c r="P52" s="152">
        <f>J52/4</f>
        <v>16148.05</v>
      </c>
      <c r="S52" s="273"/>
    </row>
    <row r="53" spans="1:19" s="5" customFormat="1" ht="53.25" customHeight="1" hidden="1" thickBot="1">
      <c r="A53" s="137">
        <v>6</v>
      </c>
      <c r="B53" s="138" t="s">
        <v>210</v>
      </c>
      <c r="C53" s="139" t="s">
        <v>295</v>
      </c>
      <c r="D53" s="184">
        <f>D54</f>
        <v>565.4000000000001</v>
      </c>
      <c r="E53" s="184">
        <f aca="true" t="shared" si="19" ref="E53:L54">E54</f>
        <v>410.1</v>
      </c>
      <c r="F53" s="184">
        <f t="shared" si="19"/>
        <v>565.4000000000001</v>
      </c>
      <c r="G53" s="140">
        <f t="shared" si="19"/>
        <v>11982.7</v>
      </c>
      <c r="H53" s="140">
        <f t="shared" si="19"/>
        <v>0</v>
      </c>
      <c r="I53" s="140">
        <f t="shared" si="19"/>
        <v>9982.7</v>
      </c>
      <c r="J53" s="141">
        <f t="shared" si="19"/>
        <v>0</v>
      </c>
      <c r="K53" s="185">
        <f t="shared" si="19"/>
        <v>0</v>
      </c>
      <c r="L53" s="186">
        <f t="shared" si="19"/>
        <v>0</v>
      </c>
      <c r="M53" s="144">
        <v>0</v>
      </c>
      <c r="N53" s="144">
        <v>0</v>
      </c>
      <c r="O53" s="144">
        <v>0</v>
      </c>
      <c r="P53" s="144">
        <v>0</v>
      </c>
      <c r="S53" s="273"/>
    </row>
    <row r="54" spans="1:19" s="6" customFormat="1" ht="13.5" hidden="1" thickBot="1">
      <c r="A54" s="203" t="s">
        <v>144</v>
      </c>
      <c r="B54" s="204" t="s">
        <v>211</v>
      </c>
      <c r="C54" s="205" t="s">
        <v>212</v>
      </c>
      <c r="D54" s="166">
        <f>D55+D56</f>
        <v>565.4000000000001</v>
      </c>
      <c r="E54" s="166">
        <f>E55+E56</f>
        <v>410.1</v>
      </c>
      <c r="F54" s="166">
        <f>F55+F56</f>
        <v>565.4000000000001</v>
      </c>
      <c r="G54" s="166">
        <f t="shared" si="19"/>
        <v>11982.7</v>
      </c>
      <c r="H54" s="166">
        <f t="shared" si="19"/>
        <v>0</v>
      </c>
      <c r="I54" s="166">
        <f t="shared" si="19"/>
        <v>9982.7</v>
      </c>
      <c r="J54" s="206">
        <f t="shared" si="19"/>
        <v>0</v>
      </c>
      <c r="K54" s="207">
        <f t="shared" si="19"/>
        <v>0</v>
      </c>
      <c r="L54" s="208">
        <f t="shared" si="19"/>
        <v>0</v>
      </c>
      <c r="M54" s="152">
        <v>0</v>
      </c>
      <c r="N54" s="152">
        <v>0</v>
      </c>
      <c r="O54" s="152">
        <v>0</v>
      </c>
      <c r="P54" s="152">
        <v>0</v>
      </c>
      <c r="S54" s="272"/>
    </row>
    <row r="55" spans="1:16" ht="53.25" customHeight="1" hidden="1" thickBot="1">
      <c r="A55" s="145" t="s">
        <v>63</v>
      </c>
      <c r="B55" s="146" t="s">
        <v>218</v>
      </c>
      <c r="C55" s="147" t="s">
        <v>219</v>
      </c>
      <c r="D55" s="148">
        <v>552.7</v>
      </c>
      <c r="E55" s="148">
        <v>410.1</v>
      </c>
      <c r="F55" s="148">
        <v>552.7</v>
      </c>
      <c r="G55" s="166">
        <v>11982.7</v>
      </c>
      <c r="H55" s="166">
        <v>0</v>
      </c>
      <c r="I55" s="148">
        <v>9982.7</v>
      </c>
      <c r="J55" s="206">
        <v>0</v>
      </c>
      <c r="K55" s="209"/>
      <c r="L55" s="210"/>
      <c r="M55" s="152">
        <v>0</v>
      </c>
      <c r="N55" s="152">
        <v>0</v>
      </c>
      <c r="O55" s="152">
        <v>0</v>
      </c>
      <c r="P55" s="152">
        <v>0</v>
      </c>
    </row>
    <row r="56" spans="1:16" ht="42" customHeight="1" thickBot="1">
      <c r="A56" s="137">
        <v>7</v>
      </c>
      <c r="B56" s="138" t="s">
        <v>92</v>
      </c>
      <c r="C56" s="139" t="s">
        <v>296</v>
      </c>
      <c r="D56" s="184">
        <v>12.7</v>
      </c>
      <c r="E56" s="184">
        <v>0</v>
      </c>
      <c r="F56" s="184">
        <v>12.7</v>
      </c>
      <c r="G56" s="140">
        <f aca="true" t="shared" si="20" ref="G56:L56">G57+G61</f>
        <v>1548.1</v>
      </c>
      <c r="H56" s="140">
        <f t="shared" si="20"/>
        <v>815.3</v>
      </c>
      <c r="I56" s="140">
        <f t="shared" si="20"/>
        <v>1115.1</v>
      </c>
      <c r="J56" s="141">
        <f>J57+J61</f>
        <v>1530.7</v>
      </c>
      <c r="K56" s="185">
        <f t="shared" si="20"/>
        <v>2474.2</v>
      </c>
      <c r="L56" s="186">
        <f t="shared" si="20"/>
        <v>2616</v>
      </c>
      <c r="M56" s="144">
        <f>M57+M61</f>
        <v>382.675</v>
      </c>
      <c r="N56" s="144">
        <f>N57+N61</f>
        <v>382.675</v>
      </c>
      <c r="O56" s="144">
        <f>O57+O61</f>
        <v>382.675</v>
      </c>
      <c r="P56" s="144">
        <f>P57+P61</f>
        <v>382.675</v>
      </c>
    </row>
    <row r="57" spans="1:16" ht="43.5" customHeight="1">
      <c r="A57" s="172" t="s">
        <v>158</v>
      </c>
      <c r="B57" s="173" t="s">
        <v>94</v>
      </c>
      <c r="C57" s="174" t="s">
        <v>93</v>
      </c>
      <c r="D57" s="182">
        <f>D59</f>
        <v>228.1</v>
      </c>
      <c r="E57" s="182">
        <f>E59</f>
        <v>114.1</v>
      </c>
      <c r="F57" s="182">
        <f>F59</f>
        <v>228.1</v>
      </c>
      <c r="G57" s="166">
        <f aca="true" t="shared" si="21" ref="G57:P57">G58</f>
        <v>662.2</v>
      </c>
      <c r="H57" s="166">
        <f t="shared" si="21"/>
        <v>485.4</v>
      </c>
      <c r="I57" s="148">
        <f>H57/8*12</f>
        <v>728.0999999999999</v>
      </c>
      <c r="J57" s="206">
        <f t="shared" si="21"/>
        <v>804.2</v>
      </c>
      <c r="K57" s="207">
        <f t="shared" si="21"/>
        <v>740.1</v>
      </c>
      <c r="L57" s="208">
        <f t="shared" si="21"/>
        <v>780.8</v>
      </c>
      <c r="M57" s="152">
        <f t="shared" si="21"/>
        <v>201.05</v>
      </c>
      <c r="N57" s="152">
        <f t="shared" si="21"/>
        <v>201.05</v>
      </c>
      <c r="O57" s="152">
        <f t="shared" si="21"/>
        <v>201.05</v>
      </c>
      <c r="P57" s="152">
        <f t="shared" si="21"/>
        <v>201.05</v>
      </c>
    </row>
    <row r="58" spans="1:16" ht="64.5" customHeight="1">
      <c r="A58" s="172" t="s">
        <v>84</v>
      </c>
      <c r="B58" s="173" t="s">
        <v>95</v>
      </c>
      <c r="C58" s="174" t="s">
        <v>266</v>
      </c>
      <c r="D58" s="148">
        <v>228.1</v>
      </c>
      <c r="E58" s="148">
        <v>114.1</v>
      </c>
      <c r="F58" s="148">
        <v>228.1</v>
      </c>
      <c r="G58" s="166">
        <f aca="true" t="shared" si="22" ref="G58:L58">G59+G60</f>
        <v>662.2</v>
      </c>
      <c r="H58" s="166">
        <f t="shared" si="22"/>
        <v>485.4</v>
      </c>
      <c r="I58" s="166">
        <f t="shared" si="22"/>
        <v>662.2</v>
      </c>
      <c r="J58" s="206">
        <f>J59</f>
        <v>804.2</v>
      </c>
      <c r="K58" s="211">
        <f t="shared" si="22"/>
        <v>740.1</v>
      </c>
      <c r="L58" s="212">
        <f t="shared" si="22"/>
        <v>780.8</v>
      </c>
      <c r="M58" s="152">
        <f>J58/4</f>
        <v>201.05</v>
      </c>
      <c r="N58" s="152">
        <f>J58/4</f>
        <v>201.05</v>
      </c>
      <c r="O58" s="152">
        <f>J58/4</f>
        <v>201.05</v>
      </c>
      <c r="P58" s="152">
        <f>J58/4</f>
        <v>201.05</v>
      </c>
    </row>
    <row r="59" spans="1:16" ht="68.25" customHeight="1">
      <c r="A59" s="145" t="s">
        <v>255</v>
      </c>
      <c r="B59" s="146" t="s">
        <v>137</v>
      </c>
      <c r="C59" s="213" t="s">
        <v>267</v>
      </c>
      <c r="D59" s="148">
        <v>228.1</v>
      </c>
      <c r="E59" s="148">
        <v>114.1</v>
      </c>
      <c r="F59" s="148">
        <v>228.1</v>
      </c>
      <c r="G59" s="166">
        <v>657.2</v>
      </c>
      <c r="H59" s="148">
        <v>485.4</v>
      </c>
      <c r="I59" s="148">
        <v>657.2</v>
      </c>
      <c r="J59" s="149">
        <v>804.2</v>
      </c>
      <c r="K59" s="189">
        <v>740.1</v>
      </c>
      <c r="L59" s="190">
        <v>780.8</v>
      </c>
      <c r="M59" s="152">
        <f>J59/4</f>
        <v>201.05</v>
      </c>
      <c r="N59" s="152">
        <f>J59/4</f>
        <v>201.05</v>
      </c>
      <c r="O59" s="152">
        <f>J59/4</f>
        <v>201.05</v>
      </c>
      <c r="P59" s="152">
        <f>J59/4</f>
        <v>201.05</v>
      </c>
    </row>
    <row r="60" spans="1:16" ht="93" customHeight="1" thickBot="1">
      <c r="A60" s="145" t="s">
        <v>268</v>
      </c>
      <c r="B60" s="146" t="s">
        <v>134</v>
      </c>
      <c r="C60" s="213" t="s">
        <v>269</v>
      </c>
      <c r="D60" s="148">
        <v>228.1</v>
      </c>
      <c r="E60" s="148">
        <v>114.1</v>
      </c>
      <c r="F60" s="148">
        <v>228.1</v>
      </c>
      <c r="G60" s="148">
        <v>5</v>
      </c>
      <c r="H60" s="148"/>
      <c r="I60" s="148">
        <v>5</v>
      </c>
      <c r="J60" s="149">
        <v>5.9</v>
      </c>
      <c r="K60" s="214"/>
      <c r="L60" s="215"/>
      <c r="M60" s="152">
        <f>J60/4</f>
        <v>1.475</v>
      </c>
      <c r="N60" s="152">
        <f>J60/4</f>
        <v>1.475</v>
      </c>
      <c r="O60" s="152">
        <f>J60/4</f>
        <v>1.475</v>
      </c>
      <c r="P60" s="152">
        <f>J60/4</f>
        <v>1.475</v>
      </c>
    </row>
    <row r="61" spans="1:16" ht="52.5" customHeight="1" thickBot="1">
      <c r="A61" s="145" t="s">
        <v>297</v>
      </c>
      <c r="B61" s="146" t="s">
        <v>91</v>
      </c>
      <c r="C61" s="213" t="s">
        <v>270</v>
      </c>
      <c r="D61" s="149" t="e">
        <f>D9+D44</f>
        <v>#REF!</v>
      </c>
      <c r="E61" s="149" t="e">
        <f>E9+E44</f>
        <v>#REF!</v>
      </c>
      <c r="F61" s="149" t="e">
        <f>F9+F44</f>
        <v>#REF!</v>
      </c>
      <c r="G61" s="148">
        <f aca="true" t="shared" si="23" ref="G61:L61">G63+G64</f>
        <v>885.9</v>
      </c>
      <c r="H61" s="148">
        <f t="shared" si="23"/>
        <v>329.9</v>
      </c>
      <c r="I61" s="148">
        <f t="shared" si="23"/>
        <v>387</v>
      </c>
      <c r="J61" s="149">
        <f t="shared" si="23"/>
        <v>726.5</v>
      </c>
      <c r="K61" s="216">
        <f t="shared" si="23"/>
        <v>1734.1</v>
      </c>
      <c r="L61" s="217">
        <f t="shared" si="23"/>
        <v>1835.1999999999998</v>
      </c>
      <c r="M61" s="152">
        <f>M63+M64</f>
        <v>181.625</v>
      </c>
      <c r="N61" s="152">
        <f>N63+N64</f>
        <v>181.625</v>
      </c>
      <c r="O61" s="152">
        <f>O63+O64</f>
        <v>181.625</v>
      </c>
      <c r="P61" s="152">
        <f>P63+P64</f>
        <v>181.625</v>
      </c>
    </row>
    <row r="62" spans="1:16" ht="63.75">
      <c r="A62" s="145" t="s">
        <v>198</v>
      </c>
      <c r="B62" s="146" t="s">
        <v>197</v>
      </c>
      <c r="C62" s="213" t="s">
        <v>199</v>
      </c>
      <c r="D62" s="218">
        <v>30381.3</v>
      </c>
      <c r="E62" s="218">
        <f>'[1]ведомст.структ'!I79</f>
        <v>20086.600000000002</v>
      </c>
      <c r="F62" s="218">
        <f>'[1]ведомст.структ'!J79</f>
        <v>30141.100000000002</v>
      </c>
      <c r="G62" s="219">
        <f aca="true" t="shared" si="24" ref="G62:L62">G63+G64</f>
        <v>885.9</v>
      </c>
      <c r="H62" s="219">
        <f t="shared" si="24"/>
        <v>329.9</v>
      </c>
      <c r="I62" s="219">
        <f t="shared" si="24"/>
        <v>387</v>
      </c>
      <c r="J62" s="206">
        <f t="shared" si="24"/>
        <v>726.5</v>
      </c>
      <c r="K62" s="220">
        <f t="shared" si="24"/>
        <v>1734.1</v>
      </c>
      <c r="L62" s="221">
        <f t="shared" si="24"/>
        <v>1835.1999999999998</v>
      </c>
      <c r="M62" s="152">
        <f>M63+M64</f>
        <v>181.625</v>
      </c>
      <c r="N62" s="152">
        <f>N63+N64</f>
        <v>181.625</v>
      </c>
      <c r="O62" s="152">
        <f>O63+O64</f>
        <v>181.625</v>
      </c>
      <c r="P62" s="152">
        <f>P63+P64</f>
        <v>181.625</v>
      </c>
    </row>
    <row r="63" spans="1:16" ht="45" customHeight="1">
      <c r="A63" s="145" t="s">
        <v>200</v>
      </c>
      <c r="B63" s="146" t="s">
        <v>96</v>
      </c>
      <c r="C63" s="147" t="s">
        <v>271</v>
      </c>
      <c r="D63" s="182" t="e">
        <f>D61-D62</f>
        <v>#REF!</v>
      </c>
      <c r="E63" s="182" t="e">
        <f>E61-E62</f>
        <v>#REF!</v>
      </c>
      <c r="F63" s="182" t="e">
        <f>F61-F62</f>
        <v>#REF!</v>
      </c>
      <c r="G63" s="148">
        <v>602.4</v>
      </c>
      <c r="H63" s="148">
        <v>258</v>
      </c>
      <c r="I63" s="148">
        <f>H63/8*12</f>
        <v>387</v>
      </c>
      <c r="J63" s="149">
        <v>726.5</v>
      </c>
      <c r="K63" s="222">
        <v>1155.3</v>
      </c>
      <c r="L63" s="190">
        <v>1218.8</v>
      </c>
      <c r="M63" s="152">
        <f>J63/4</f>
        <v>181.625</v>
      </c>
      <c r="N63" s="152">
        <f>J63/4</f>
        <v>181.625</v>
      </c>
      <c r="O63" s="152">
        <f>J63/4</f>
        <v>181.625</v>
      </c>
      <c r="P63" s="152">
        <f>J63/4</f>
        <v>181.625</v>
      </c>
    </row>
    <row r="64" spans="1:16" ht="46.5" customHeight="1" thickBot="1">
      <c r="A64" s="145" t="s">
        <v>298</v>
      </c>
      <c r="B64" s="146" t="s">
        <v>236</v>
      </c>
      <c r="C64" s="147" t="s">
        <v>272</v>
      </c>
      <c r="D64" s="155"/>
      <c r="E64" s="223"/>
      <c r="F64" s="223"/>
      <c r="G64" s="148">
        <v>283.5</v>
      </c>
      <c r="H64" s="148">
        <v>71.9</v>
      </c>
      <c r="I64" s="148"/>
      <c r="J64" s="149">
        <v>0</v>
      </c>
      <c r="K64" s="222">
        <v>578.8</v>
      </c>
      <c r="L64" s="190">
        <v>616.4</v>
      </c>
      <c r="M64" s="152">
        <f>J64/4</f>
        <v>0</v>
      </c>
      <c r="N64" s="152">
        <f>J64/4</f>
        <v>0</v>
      </c>
      <c r="O64" s="152">
        <f>J64/4</f>
        <v>0</v>
      </c>
      <c r="P64" s="152">
        <f>J64/4</f>
        <v>0</v>
      </c>
    </row>
    <row r="65" spans="1:16" ht="19.5" thickBot="1">
      <c r="A65" s="124"/>
      <c r="B65" s="224"/>
      <c r="C65" s="225" t="s">
        <v>26</v>
      </c>
      <c r="D65" s="218" t="e">
        <f>D61-D44</f>
        <v>#REF!</v>
      </c>
      <c r="E65" s="218" t="e">
        <f>E61-E44</f>
        <v>#REF!</v>
      </c>
      <c r="F65" s="218" t="e">
        <f>F61-F44</f>
        <v>#REF!</v>
      </c>
      <c r="G65" s="218">
        <f aca="true" t="shared" si="25" ref="G65:P65">G9+G48</f>
        <v>51728.200000000004</v>
      </c>
      <c r="H65" s="218">
        <f t="shared" si="25"/>
        <v>23927.699999999997</v>
      </c>
      <c r="I65" s="218">
        <f t="shared" si="25"/>
        <v>48661.7</v>
      </c>
      <c r="J65" s="218">
        <f>J9+J48</f>
        <v>92568.5</v>
      </c>
      <c r="K65" s="226">
        <f t="shared" si="25"/>
        <v>87828.79</v>
      </c>
      <c r="L65" s="227">
        <f t="shared" si="25"/>
        <v>89475.09245</v>
      </c>
      <c r="M65" s="156">
        <f t="shared" si="25"/>
        <v>25029.891666666663</v>
      </c>
      <c r="N65" s="156">
        <f t="shared" si="25"/>
        <v>25029.891666666663</v>
      </c>
      <c r="O65" s="156">
        <f t="shared" si="25"/>
        <v>25029.891666666663</v>
      </c>
      <c r="P65" s="156">
        <f t="shared" si="25"/>
        <v>16664.225</v>
      </c>
    </row>
    <row r="66" spans="1:12" ht="18.75" hidden="1">
      <c r="A66" s="109"/>
      <c r="B66" s="108"/>
      <c r="C66" s="107" t="s">
        <v>28</v>
      </c>
      <c r="G66" s="110" t="e">
        <f>#REF!</f>
        <v>#REF!</v>
      </c>
      <c r="H66" s="110" t="e">
        <f>#REF!</f>
        <v>#REF!</v>
      </c>
      <c r="I66" s="110" t="e">
        <f>#REF!</f>
        <v>#REF!</v>
      </c>
      <c r="J66" s="110" t="e">
        <f>#REF!</f>
        <v>#REF!</v>
      </c>
      <c r="K66" s="110" t="e">
        <f>#REF!</f>
        <v>#REF!</v>
      </c>
      <c r="L66" s="110" t="e">
        <f>#REF!</f>
        <v>#REF!</v>
      </c>
    </row>
    <row r="67" spans="1:12" ht="18.75" hidden="1">
      <c r="A67" s="109"/>
      <c r="B67" s="108"/>
      <c r="C67" s="105" t="s">
        <v>29</v>
      </c>
      <c r="G67" s="106" t="e">
        <f aca="true" t="shared" si="26" ref="G67:L67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ht="12.75" hidden="1">
      <c r="A68" s="111"/>
    </row>
    <row r="69" spans="1:12" ht="19.5" hidden="1" thickBot="1">
      <c r="A69" s="112"/>
      <c r="B69" s="113" t="s">
        <v>206</v>
      </c>
      <c r="C69" s="113"/>
      <c r="G69" s="104">
        <f aca="true" t="shared" si="27" ref="G69:L69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ht="12.75" hidden="1"/>
    <row r="71" ht="12.75" hidden="1"/>
    <row r="72" ht="12.75" hidden="1">
      <c r="J72" s="2">
        <f>J65-J56</f>
        <v>91037.8</v>
      </c>
    </row>
    <row r="73" ht="12.75" hidden="1">
      <c r="J73" s="2">
        <f>J72*0.31</f>
        <v>28221.718</v>
      </c>
    </row>
    <row r="74" ht="12.75" hidden="1"/>
    <row r="75" ht="12.75" hidden="1"/>
    <row r="77" ht="12.75">
      <c r="P77" s="117"/>
    </row>
  </sheetData>
  <sheetProtection/>
  <mergeCells count="5">
    <mergeCell ref="A6:P6"/>
    <mergeCell ref="O7:P7"/>
    <mergeCell ref="C1:P1"/>
    <mergeCell ref="C4:P4"/>
    <mergeCell ref="A5:P5"/>
  </mergeCells>
  <printOptions/>
  <pageMargins left="0.5905511811023623" right="0.3937007874015748" top="0.3937007874015748" bottom="0.3937007874015748" header="0" footer="0"/>
  <pageSetup fitToHeight="6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140625" style="1" customWidth="1"/>
    <col min="2" max="2" width="38.57421875" style="1" customWidth="1"/>
    <col min="3" max="3" width="51.421875" style="2" customWidth="1"/>
    <col min="4" max="4" width="11.7109375" style="6" hidden="1" customWidth="1"/>
    <col min="5" max="5" width="10.8515625" style="2" hidden="1" customWidth="1"/>
    <col min="6" max="6" width="13.421875" style="2" hidden="1" customWidth="1"/>
    <col min="7" max="7" width="15.8515625" style="2" hidden="1" customWidth="1"/>
    <col min="8" max="8" width="14.00390625" style="2" hidden="1" customWidth="1"/>
    <col min="9" max="9" width="16.57421875" style="2" hidden="1" customWidth="1"/>
    <col min="10" max="10" width="17.140625" style="2" customWidth="1"/>
    <col min="11" max="11" width="12.7109375" style="2" hidden="1" customWidth="1"/>
    <col min="12" max="12" width="12.00390625" style="2" hidden="1" customWidth="1"/>
    <col min="13" max="13" width="10.140625" style="2" hidden="1" customWidth="1"/>
    <col min="14" max="16" width="0" style="2" hidden="1" customWidth="1"/>
    <col min="17" max="17" width="17.00390625" style="2" hidden="1" customWidth="1"/>
    <col min="18" max="18" width="16.57421875" style="2" hidden="1" customWidth="1"/>
    <col min="19" max="19" width="9.140625" style="268" customWidth="1"/>
    <col min="20" max="20" width="13.28125" style="2" hidden="1" customWidth="1"/>
    <col min="21" max="23" width="0" style="2" hidden="1" customWidth="1"/>
    <col min="24" max="24" width="10.140625" style="2" bestFit="1" customWidth="1"/>
    <col min="25" max="16384" width="9.140625" style="2" customWidth="1"/>
  </cols>
  <sheetData>
    <row r="1" spans="1:16" ht="21" customHeight="1">
      <c r="A1" s="448"/>
      <c r="B1" s="230"/>
      <c r="C1" s="568" t="s">
        <v>452</v>
      </c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16" ht="21" customHeight="1">
      <c r="A2" s="449"/>
      <c r="B2" s="326"/>
      <c r="C2" s="326"/>
      <c r="D2" s="326"/>
      <c r="E2" s="326"/>
      <c r="F2" s="326"/>
      <c r="G2" s="326"/>
      <c r="H2" s="326"/>
      <c r="I2" s="326"/>
      <c r="J2" s="352" t="s">
        <v>446</v>
      </c>
      <c r="K2" s="326"/>
      <c r="L2" s="326"/>
      <c r="M2" s="326"/>
      <c r="N2" s="326"/>
      <c r="O2" s="326"/>
      <c r="P2" s="326"/>
    </row>
    <row r="3" spans="1:16" ht="22.5" customHeight="1">
      <c r="A3" s="569" t="s">
        <v>323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</row>
    <row r="4" spans="1:16" ht="27" customHeight="1" thickBot="1">
      <c r="A4" s="569" t="s">
        <v>493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</row>
    <row r="5" spans="1:19" s="7" customFormat="1" ht="18" customHeight="1" thickBot="1">
      <c r="A5" s="587" t="s">
        <v>19</v>
      </c>
      <c r="B5" s="587" t="s">
        <v>27</v>
      </c>
      <c r="C5" s="588" t="s">
        <v>20</v>
      </c>
      <c r="D5" s="589" t="s">
        <v>204</v>
      </c>
      <c r="E5" s="589" t="s">
        <v>209</v>
      </c>
      <c r="F5" s="589" t="s">
        <v>205</v>
      </c>
      <c r="G5" s="589" t="s">
        <v>257</v>
      </c>
      <c r="H5" s="589" t="s">
        <v>281</v>
      </c>
      <c r="I5" s="589" t="s">
        <v>238</v>
      </c>
      <c r="J5" s="589" t="s">
        <v>283</v>
      </c>
      <c r="K5" s="450" t="s">
        <v>235</v>
      </c>
      <c r="L5" s="451" t="s">
        <v>239</v>
      </c>
      <c r="M5" s="452" t="s">
        <v>318</v>
      </c>
      <c r="N5" s="452" t="s">
        <v>319</v>
      </c>
      <c r="O5" s="452" t="s">
        <v>320</v>
      </c>
      <c r="P5" s="452" t="s">
        <v>321</v>
      </c>
      <c r="Q5" s="453" t="s">
        <v>283</v>
      </c>
      <c r="R5" s="453" t="s">
        <v>283</v>
      </c>
      <c r="S5" s="269"/>
    </row>
    <row r="6" spans="1:19" s="3" customFormat="1" ht="16.5" thickBot="1">
      <c r="A6" s="588" t="s">
        <v>21</v>
      </c>
      <c r="B6" s="590" t="s">
        <v>32</v>
      </c>
      <c r="C6" s="591" t="s">
        <v>292</v>
      </c>
      <c r="D6" s="592" t="e">
        <f>D7+#REF!+D16+D19+#REF!</f>
        <v>#REF!</v>
      </c>
      <c r="E6" s="592" t="e">
        <f>E7+#REF!+E16+E19+#REF!</f>
        <v>#REF!</v>
      </c>
      <c r="F6" s="592" t="e">
        <f>F7+#REF!+F16+F19+#REF!</f>
        <v>#REF!</v>
      </c>
      <c r="G6" s="592" t="e">
        <f>G7+#REF!+G16+#REF!+G27</f>
        <v>#REF!</v>
      </c>
      <c r="H6" s="592" t="e">
        <f>H7+#REF!+H16+#REF!+H27</f>
        <v>#REF!</v>
      </c>
      <c r="I6" s="592" t="e">
        <f>I7+#REF!+I16+#REF!+I27</f>
        <v>#REF!</v>
      </c>
      <c r="J6" s="593">
        <f>J7+J16+J23+J27</f>
        <v>60287.5</v>
      </c>
      <c r="K6" s="496" t="e">
        <f>K7+#REF!+K16+#REF!+K27</f>
        <v>#REF!</v>
      </c>
      <c r="L6" s="497" t="e">
        <f>L7+#REF!+L16+#REF!+L27</f>
        <v>#REF!</v>
      </c>
      <c r="M6" s="498" t="e">
        <f>M7+#REF!+M16+#REF!+M27</f>
        <v>#REF!</v>
      </c>
      <c r="N6" s="498" t="e">
        <f>N7+#REF!+N16+#REF!+N27</f>
        <v>#REF!</v>
      </c>
      <c r="O6" s="498" t="e">
        <f>O7+#REF!+O16+#REF!+O27</f>
        <v>#REF!</v>
      </c>
      <c r="P6" s="498" t="e">
        <f>P7+#REF!+P16+#REF!+P27</f>
        <v>#REF!</v>
      </c>
      <c r="Q6" s="454" t="e">
        <f>Q7+#REF!+Q16+Q23</f>
        <v>#REF!</v>
      </c>
      <c r="R6" s="454" t="e">
        <f>R7+#REF!+R16+R23</f>
        <v>#REF!</v>
      </c>
      <c r="S6" s="270"/>
    </row>
    <row r="7" spans="1:19" s="4" customFormat="1" ht="16.5" thickBot="1">
      <c r="A7" s="588" t="s">
        <v>25</v>
      </c>
      <c r="B7" s="590" t="s">
        <v>151</v>
      </c>
      <c r="C7" s="594" t="s">
        <v>23</v>
      </c>
      <c r="D7" s="592" t="e">
        <f aca="true" t="shared" si="0" ref="D7:I7">D8+D13</f>
        <v>#REF!</v>
      </c>
      <c r="E7" s="592" t="e">
        <f t="shared" si="0"/>
        <v>#REF!</v>
      </c>
      <c r="F7" s="592" t="e">
        <f t="shared" si="0"/>
        <v>#REF!</v>
      </c>
      <c r="G7" s="592" t="e">
        <f t="shared" si="0"/>
        <v>#REF!</v>
      </c>
      <c r="H7" s="592" t="e">
        <f t="shared" si="0"/>
        <v>#REF!</v>
      </c>
      <c r="I7" s="592" t="e">
        <f t="shared" si="0"/>
        <v>#REF!</v>
      </c>
      <c r="J7" s="593">
        <f>J8+J13+J15</f>
        <v>49465</v>
      </c>
      <c r="K7" s="499" t="e">
        <f aca="true" t="shared" si="1" ref="K7:P7">K8+K13</f>
        <v>#REF!</v>
      </c>
      <c r="L7" s="500" t="e">
        <f t="shared" si="1"/>
        <v>#REF!</v>
      </c>
      <c r="M7" s="501" t="e">
        <f t="shared" si="1"/>
        <v>#REF!</v>
      </c>
      <c r="N7" s="501" t="e">
        <f t="shared" si="1"/>
        <v>#REF!</v>
      </c>
      <c r="O7" s="501" t="e">
        <f t="shared" si="1"/>
        <v>#REF!</v>
      </c>
      <c r="P7" s="501" t="e">
        <f t="shared" si="1"/>
        <v>#REF!</v>
      </c>
      <c r="Q7" s="455" t="e">
        <f>Q8+Q13+Q15</f>
        <v>#REF!</v>
      </c>
      <c r="R7" s="455" t="e">
        <f>R8+R13+R15</f>
        <v>#REF!</v>
      </c>
      <c r="S7" s="271"/>
    </row>
    <row r="8" spans="1:19" s="6" customFormat="1" ht="34.5" customHeight="1">
      <c r="A8" s="595" t="s">
        <v>74</v>
      </c>
      <c r="B8" s="596" t="s">
        <v>232</v>
      </c>
      <c r="C8" s="466" t="s">
        <v>145</v>
      </c>
      <c r="D8" s="597" t="e">
        <f>D9+D11+#REF!+#REF!</f>
        <v>#REF!</v>
      </c>
      <c r="E8" s="597" t="e">
        <f>E9+E11+#REF!+#REF!</f>
        <v>#REF!</v>
      </c>
      <c r="F8" s="597" t="e">
        <f>F9+F11+#REF!+#REF!</f>
        <v>#REF!</v>
      </c>
      <c r="G8" s="597" t="e">
        <f>G9+G11+#REF!+#REF!+G12</f>
        <v>#REF!</v>
      </c>
      <c r="H8" s="597" t="e">
        <f>H9+H11+#REF!+#REF!+H12</f>
        <v>#REF!</v>
      </c>
      <c r="I8" s="597" t="e">
        <f>I9+I11+#REF!+#REF!+I12+I13</f>
        <v>#REF!</v>
      </c>
      <c r="J8" s="598">
        <f>J9+J10+J12</f>
        <v>46815</v>
      </c>
      <c r="K8" s="458" t="e">
        <f>K9+K11+#REF!+#REF!+K12+K13</f>
        <v>#REF!</v>
      </c>
      <c r="L8" s="459" t="e">
        <f>L9+L11+#REF!+#REF!+L12+L13</f>
        <v>#REF!</v>
      </c>
      <c r="M8" s="152" t="e">
        <f>M9+M11+#REF!+#REF!+M12</f>
        <v>#REF!</v>
      </c>
      <c r="N8" s="152" t="e">
        <f>N9+N11+#REF!+#REF!+N12</f>
        <v>#REF!</v>
      </c>
      <c r="O8" s="152" t="e">
        <f>O9+O11+#REF!+#REF!+O12</f>
        <v>#REF!</v>
      </c>
      <c r="P8" s="152" t="e">
        <f>P9+P11+#REF!+#REF!+P12</f>
        <v>#REF!</v>
      </c>
      <c r="Q8" s="457" t="e">
        <f>Q9+Q11+#REF!+#REF!+Q12</f>
        <v>#REF!</v>
      </c>
      <c r="R8" s="457" t="e">
        <f>R9+R11+#REF!+#REF!+R12</f>
        <v>#REF!</v>
      </c>
      <c r="S8" s="272"/>
    </row>
    <row r="9" spans="1:26" s="6" customFormat="1" ht="27" customHeight="1">
      <c r="A9" s="595" t="s">
        <v>59</v>
      </c>
      <c r="B9" s="596" t="s">
        <v>187</v>
      </c>
      <c r="C9" s="466" t="s">
        <v>146</v>
      </c>
      <c r="D9" s="597">
        <v>6131.4</v>
      </c>
      <c r="E9" s="597">
        <v>3667.3</v>
      </c>
      <c r="F9" s="597">
        <f>E9/8*12</f>
        <v>5500.950000000001</v>
      </c>
      <c r="G9" s="597">
        <v>17300</v>
      </c>
      <c r="H9" s="597">
        <v>8970.8</v>
      </c>
      <c r="I9" s="597">
        <v>15500</v>
      </c>
      <c r="J9" s="598">
        <v>31115</v>
      </c>
      <c r="K9" s="460">
        <f aca="true" t="shared" si="2" ref="K9:K15">J9*1.058</f>
        <v>32919.67</v>
      </c>
      <c r="L9" s="461">
        <f aca="true" t="shared" si="3" ref="L9:L15">K9*1.055</f>
        <v>34730.25184999999</v>
      </c>
      <c r="M9" s="152">
        <f>J9/3</f>
        <v>10371.666666666666</v>
      </c>
      <c r="N9" s="152">
        <f>J9/3</f>
        <v>10371.666666666666</v>
      </c>
      <c r="O9" s="152">
        <f>J9/3</f>
        <v>10371.666666666666</v>
      </c>
      <c r="P9" s="152">
        <v>0</v>
      </c>
      <c r="Q9" s="457">
        <f>J9*108%</f>
        <v>33604.200000000004</v>
      </c>
      <c r="R9" s="457">
        <f>Q9*106.9%</f>
        <v>35922.889800000004</v>
      </c>
      <c r="S9" s="272"/>
      <c r="X9" s="462"/>
      <c r="Y9" s="462"/>
      <c r="Z9" s="462"/>
    </row>
    <row r="10" spans="1:19" s="6" customFormat="1" ht="39.75" customHeight="1">
      <c r="A10" s="595" t="s">
        <v>75</v>
      </c>
      <c r="B10" s="596" t="s">
        <v>258</v>
      </c>
      <c r="C10" s="466" t="s">
        <v>453</v>
      </c>
      <c r="D10" s="597"/>
      <c r="E10" s="597"/>
      <c r="F10" s="597"/>
      <c r="G10" s="597">
        <f>G11</f>
        <v>760</v>
      </c>
      <c r="H10" s="597">
        <f>H11</f>
        <v>824.4</v>
      </c>
      <c r="I10" s="597">
        <f>I11</f>
        <v>1236.6</v>
      </c>
      <c r="J10" s="598">
        <f>J11</f>
        <v>15700</v>
      </c>
      <c r="K10" s="460">
        <f t="shared" si="2"/>
        <v>16610.600000000002</v>
      </c>
      <c r="L10" s="461">
        <f t="shared" si="3"/>
        <v>17524.183</v>
      </c>
      <c r="M10" s="152">
        <f aca="true" t="shared" si="4" ref="M10:R10">M11</f>
        <v>5233.333333333333</v>
      </c>
      <c r="N10" s="152">
        <f t="shared" si="4"/>
        <v>5233.333333333333</v>
      </c>
      <c r="O10" s="152">
        <f t="shared" si="4"/>
        <v>5233.333333333333</v>
      </c>
      <c r="P10" s="152">
        <f t="shared" si="4"/>
        <v>0</v>
      </c>
      <c r="Q10" s="457">
        <f t="shared" si="4"/>
        <v>16956</v>
      </c>
      <c r="R10" s="457">
        <f t="shared" si="4"/>
        <v>18125.964</v>
      </c>
      <c r="S10" s="272"/>
    </row>
    <row r="11" spans="1:19" s="6" customFormat="1" ht="56.25" customHeight="1">
      <c r="A11" s="595" t="s">
        <v>175</v>
      </c>
      <c r="B11" s="596" t="s">
        <v>190</v>
      </c>
      <c r="C11" s="466" t="s">
        <v>453</v>
      </c>
      <c r="D11" s="597">
        <v>800</v>
      </c>
      <c r="E11" s="597">
        <v>733.2</v>
      </c>
      <c r="F11" s="597">
        <f>E11/8*12</f>
        <v>1099.8000000000002</v>
      </c>
      <c r="G11" s="597">
        <v>760</v>
      </c>
      <c r="H11" s="597">
        <v>824.4</v>
      </c>
      <c r="I11" s="597">
        <f>H11/8*12</f>
        <v>1236.6</v>
      </c>
      <c r="J11" s="598">
        <v>15700</v>
      </c>
      <c r="K11" s="460">
        <f t="shared" si="2"/>
        <v>16610.600000000002</v>
      </c>
      <c r="L11" s="461">
        <f t="shared" si="3"/>
        <v>17524.183</v>
      </c>
      <c r="M11" s="152">
        <f>J11/3</f>
        <v>5233.333333333333</v>
      </c>
      <c r="N11" s="152">
        <f>J11/3</f>
        <v>5233.333333333333</v>
      </c>
      <c r="O11" s="152">
        <f>J11/3</f>
        <v>5233.333333333333</v>
      </c>
      <c r="P11" s="152">
        <v>0</v>
      </c>
      <c r="Q11" s="457">
        <f>J11*108%</f>
        <v>16956</v>
      </c>
      <c r="R11" s="457">
        <f>Q11*106.9%</f>
        <v>18125.964</v>
      </c>
      <c r="S11" s="272"/>
    </row>
    <row r="12" spans="1:19" s="6" customFormat="1" ht="57" customHeight="1" hidden="1">
      <c r="A12" s="595" t="s">
        <v>231</v>
      </c>
      <c r="B12" s="596" t="s">
        <v>229</v>
      </c>
      <c r="C12" s="466" t="s">
        <v>454</v>
      </c>
      <c r="D12" s="597"/>
      <c r="E12" s="597"/>
      <c r="F12" s="597"/>
      <c r="G12" s="597">
        <v>560</v>
      </c>
      <c r="H12" s="597">
        <v>17.8</v>
      </c>
      <c r="I12" s="597">
        <f>H12/8*12</f>
        <v>26.700000000000003</v>
      </c>
      <c r="J12" s="598">
        <v>0</v>
      </c>
      <c r="K12" s="460">
        <f t="shared" si="2"/>
        <v>0</v>
      </c>
      <c r="L12" s="461">
        <f t="shared" si="3"/>
        <v>0</v>
      </c>
      <c r="M12" s="152">
        <f>J12/4</f>
        <v>0</v>
      </c>
      <c r="N12" s="152">
        <f>J12/4</f>
        <v>0</v>
      </c>
      <c r="O12" s="152">
        <f>J12/4</f>
        <v>0</v>
      </c>
      <c r="P12" s="152">
        <f>J12/4</f>
        <v>0</v>
      </c>
      <c r="Q12" s="457">
        <f>J12*108%</f>
        <v>0</v>
      </c>
      <c r="R12" s="457">
        <f>Q12*106.9%</f>
        <v>0</v>
      </c>
      <c r="S12" s="272"/>
    </row>
    <row r="13" spans="1:19" s="6" customFormat="1" ht="31.5" customHeight="1">
      <c r="A13" s="595" t="s">
        <v>162</v>
      </c>
      <c r="B13" s="596" t="s">
        <v>234</v>
      </c>
      <c r="C13" s="466" t="s">
        <v>455</v>
      </c>
      <c r="D13" s="597">
        <f>D14+D15</f>
        <v>240</v>
      </c>
      <c r="E13" s="597">
        <f>E14+E15</f>
        <v>181.5</v>
      </c>
      <c r="F13" s="597">
        <f>E13/8*12</f>
        <v>272.25</v>
      </c>
      <c r="G13" s="597">
        <f>G14+G15</f>
        <v>200</v>
      </c>
      <c r="H13" s="597">
        <f>H14+H15</f>
        <v>223.2</v>
      </c>
      <c r="I13" s="597">
        <f>H13/8*12</f>
        <v>334.79999999999995</v>
      </c>
      <c r="J13" s="598">
        <f>J14</f>
        <v>700</v>
      </c>
      <c r="K13" s="460">
        <f t="shared" si="2"/>
        <v>740.6</v>
      </c>
      <c r="L13" s="461">
        <f t="shared" si="3"/>
        <v>781.333</v>
      </c>
      <c r="M13" s="152">
        <f aca="true" t="shared" si="5" ref="M13:R13">M14</f>
        <v>233.33333333333334</v>
      </c>
      <c r="N13" s="152">
        <f t="shared" si="5"/>
        <v>233.33333333333334</v>
      </c>
      <c r="O13" s="152">
        <f t="shared" si="5"/>
        <v>233.33333333333334</v>
      </c>
      <c r="P13" s="152">
        <f t="shared" si="5"/>
        <v>0</v>
      </c>
      <c r="Q13" s="457">
        <f t="shared" si="5"/>
        <v>756</v>
      </c>
      <c r="R13" s="457">
        <f t="shared" si="5"/>
        <v>808.164</v>
      </c>
      <c r="S13" s="272"/>
    </row>
    <row r="14" spans="1:19" s="6" customFormat="1" ht="30.75" customHeight="1">
      <c r="A14" s="595" t="s">
        <v>174</v>
      </c>
      <c r="B14" s="596" t="s">
        <v>193</v>
      </c>
      <c r="C14" s="466" t="s">
        <v>455</v>
      </c>
      <c r="D14" s="597">
        <v>120</v>
      </c>
      <c r="E14" s="597">
        <v>130.5</v>
      </c>
      <c r="F14" s="597">
        <f>E14/8*12</f>
        <v>195.75</v>
      </c>
      <c r="G14" s="597">
        <v>200</v>
      </c>
      <c r="H14" s="597">
        <v>223.2</v>
      </c>
      <c r="I14" s="597">
        <f>H14/8*12</f>
        <v>334.79999999999995</v>
      </c>
      <c r="J14" s="598">
        <f>950-250</f>
        <v>700</v>
      </c>
      <c r="K14" s="460">
        <f t="shared" si="2"/>
        <v>740.6</v>
      </c>
      <c r="L14" s="461">
        <f t="shared" si="3"/>
        <v>781.333</v>
      </c>
      <c r="M14" s="152">
        <f>J14/3</f>
        <v>233.33333333333334</v>
      </c>
      <c r="N14" s="152">
        <f>J14/3</f>
        <v>233.33333333333334</v>
      </c>
      <c r="O14" s="152">
        <f>J14/3</f>
        <v>233.33333333333334</v>
      </c>
      <c r="P14" s="152">
        <v>0</v>
      </c>
      <c r="Q14" s="457">
        <f>J14*108%</f>
        <v>756</v>
      </c>
      <c r="R14" s="457">
        <f>Q14*106.9%</f>
        <v>808.164</v>
      </c>
      <c r="S14" s="272"/>
    </row>
    <row r="15" spans="1:19" s="4" customFormat="1" ht="39.75" customHeight="1" thickBot="1">
      <c r="A15" s="595" t="s">
        <v>220</v>
      </c>
      <c r="B15" s="596" t="s">
        <v>333</v>
      </c>
      <c r="C15" s="466" t="s">
        <v>334</v>
      </c>
      <c r="D15" s="597">
        <v>120</v>
      </c>
      <c r="E15" s="597">
        <v>51</v>
      </c>
      <c r="F15" s="597">
        <f>E15/8*12</f>
        <v>76.5</v>
      </c>
      <c r="G15" s="223"/>
      <c r="H15" s="597"/>
      <c r="I15" s="597">
        <f>H15/8*12</f>
        <v>0</v>
      </c>
      <c r="J15" s="598">
        <f>1700+250</f>
        <v>1950</v>
      </c>
      <c r="K15" s="460">
        <f t="shared" si="2"/>
        <v>2063.1</v>
      </c>
      <c r="L15" s="461">
        <f t="shared" si="3"/>
        <v>2176.5705</v>
      </c>
      <c r="M15" s="156"/>
      <c r="N15" s="156"/>
      <c r="O15" s="156"/>
      <c r="P15" s="156"/>
      <c r="Q15" s="457">
        <f>J15*108%</f>
        <v>2106</v>
      </c>
      <c r="R15" s="457">
        <f>Q15*106.9%</f>
        <v>2251.314</v>
      </c>
      <c r="S15" s="271"/>
    </row>
    <row r="16" spans="1:19" s="6" customFormat="1" ht="41.25" customHeight="1" thickBot="1">
      <c r="A16" s="599" t="s">
        <v>22</v>
      </c>
      <c r="B16" s="600" t="s">
        <v>33</v>
      </c>
      <c r="C16" s="601" t="s">
        <v>148</v>
      </c>
      <c r="D16" s="602" t="e">
        <f>#REF!+#REF!+#REF!+#REF!+#REF!</f>
        <v>#REF!</v>
      </c>
      <c r="E16" s="602" t="e">
        <f>#REF!+#REF!+#REF!+#REF!+#REF!</f>
        <v>#REF!</v>
      </c>
      <c r="F16" s="602" t="e">
        <f>#REF!+#REF!+#REF!+#REF!+#REF!</f>
        <v>#REF!</v>
      </c>
      <c r="G16" s="602">
        <f aca="true" t="shared" si="6" ref="G16:P16">G17+G21</f>
        <v>9275.4</v>
      </c>
      <c r="H16" s="602">
        <f t="shared" si="6"/>
        <v>6457.7</v>
      </c>
      <c r="I16" s="602">
        <f t="shared" si="6"/>
        <v>10024</v>
      </c>
      <c r="J16" s="603">
        <f t="shared" si="6"/>
        <v>7812.5</v>
      </c>
      <c r="K16" s="502">
        <f t="shared" si="6"/>
        <v>8265.625</v>
      </c>
      <c r="L16" s="503">
        <f t="shared" si="6"/>
        <v>8720.234375</v>
      </c>
      <c r="M16" s="160">
        <f t="shared" si="6"/>
        <v>2603.125</v>
      </c>
      <c r="N16" s="160">
        <f t="shared" si="6"/>
        <v>2603.125</v>
      </c>
      <c r="O16" s="160">
        <f t="shared" si="6"/>
        <v>2603.125</v>
      </c>
      <c r="P16" s="160">
        <f t="shared" si="6"/>
        <v>3.125</v>
      </c>
      <c r="Q16" s="455">
        <f>Q17+Q21</f>
        <v>8437.5</v>
      </c>
      <c r="R16" s="455">
        <f>R17+R21</f>
        <v>9019.6875</v>
      </c>
      <c r="S16" s="272"/>
    </row>
    <row r="17" spans="1:19" s="6" customFormat="1" ht="78.75" customHeight="1">
      <c r="A17" s="595" t="s">
        <v>76</v>
      </c>
      <c r="B17" s="604" t="s">
        <v>160</v>
      </c>
      <c r="C17" s="466" t="s">
        <v>194</v>
      </c>
      <c r="D17" s="602"/>
      <c r="E17" s="602"/>
      <c r="F17" s="602"/>
      <c r="G17" s="597">
        <f aca="true" t="shared" si="7" ref="G17:J19">G18</f>
        <v>9251.4</v>
      </c>
      <c r="H17" s="597">
        <f t="shared" si="7"/>
        <v>6445.7</v>
      </c>
      <c r="I17" s="597">
        <f t="shared" si="7"/>
        <v>10000</v>
      </c>
      <c r="J17" s="598">
        <f t="shared" si="7"/>
        <v>7800</v>
      </c>
      <c r="K17" s="460">
        <f>J17*1.058</f>
        <v>8252.4</v>
      </c>
      <c r="L17" s="461">
        <f>K17*1.055</f>
        <v>8706.282</v>
      </c>
      <c r="M17" s="152">
        <f aca="true" t="shared" si="8" ref="M17:P19">M18</f>
        <v>2600</v>
      </c>
      <c r="N17" s="152">
        <f t="shared" si="8"/>
        <v>2600</v>
      </c>
      <c r="O17" s="152">
        <f t="shared" si="8"/>
        <v>2600</v>
      </c>
      <c r="P17" s="152">
        <f t="shared" si="8"/>
        <v>0</v>
      </c>
      <c r="Q17" s="457">
        <f aca="true" t="shared" si="9" ref="Q17:R19">Q18</f>
        <v>8424</v>
      </c>
      <c r="R17" s="457">
        <f t="shared" si="9"/>
        <v>9005.256</v>
      </c>
      <c r="S17" s="272"/>
    </row>
    <row r="18" spans="1:19" s="6" customFormat="1" ht="64.5" customHeight="1">
      <c r="A18" s="595" t="s">
        <v>77</v>
      </c>
      <c r="B18" s="604" t="s">
        <v>161</v>
      </c>
      <c r="C18" s="466" t="s">
        <v>149</v>
      </c>
      <c r="D18" s="597">
        <v>5500</v>
      </c>
      <c r="E18" s="597">
        <v>3350.4</v>
      </c>
      <c r="F18" s="597">
        <f>E18/8*12</f>
        <v>5025.6</v>
      </c>
      <c r="G18" s="597">
        <f t="shared" si="7"/>
        <v>9251.4</v>
      </c>
      <c r="H18" s="597">
        <f t="shared" si="7"/>
        <v>6445.7</v>
      </c>
      <c r="I18" s="597">
        <f t="shared" si="7"/>
        <v>10000</v>
      </c>
      <c r="J18" s="598">
        <f t="shared" si="7"/>
        <v>7800</v>
      </c>
      <c r="K18" s="460">
        <f>J18*1.058</f>
        <v>8252.4</v>
      </c>
      <c r="L18" s="461">
        <f>K18*1.055</f>
        <v>8706.282</v>
      </c>
      <c r="M18" s="152">
        <f t="shared" si="8"/>
        <v>2600</v>
      </c>
      <c r="N18" s="152">
        <f t="shared" si="8"/>
        <v>2600</v>
      </c>
      <c r="O18" s="152">
        <f t="shared" si="8"/>
        <v>2600</v>
      </c>
      <c r="P18" s="152">
        <f t="shared" si="8"/>
        <v>0</v>
      </c>
      <c r="Q18" s="457">
        <f t="shared" si="9"/>
        <v>8424</v>
      </c>
      <c r="R18" s="457">
        <f t="shared" si="9"/>
        <v>9005.256</v>
      </c>
      <c r="S18" s="272"/>
    </row>
    <row r="19" spans="1:19" s="6" customFormat="1" ht="72" customHeight="1">
      <c r="A19" s="595" t="s">
        <v>168</v>
      </c>
      <c r="B19" s="604" t="s">
        <v>259</v>
      </c>
      <c r="C19" s="466" t="s">
        <v>456</v>
      </c>
      <c r="D19" s="602">
        <f aca="true" t="shared" si="10" ref="D19:F20">D20</f>
        <v>3450</v>
      </c>
      <c r="E19" s="602">
        <f t="shared" si="10"/>
        <v>1791.7</v>
      </c>
      <c r="F19" s="602">
        <f t="shared" si="10"/>
        <v>2090</v>
      </c>
      <c r="G19" s="597">
        <f t="shared" si="7"/>
        <v>9251.4</v>
      </c>
      <c r="H19" s="597">
        <f t="shared" si="7"/>
        <v>6445.7</v>
      </c>
      <c r="I19" s="597">
        <f t="shared" si="7"/>
        <v>10000</v>
      </c>
      <c r="J19" s="598">
        <f t="shared" si="7"/>
        <v>7800</v>
      </c>
      <c r="K19" s="460">
        <f>J19*1.058</f>
        <v>8252.4</v>
      </c>
      <c r="L19" s="461">
        <f>K19*1.055</f>
        <v>8706.282</v>
      </c>
      <c r="M19" s="152">
        <f t="shared" si="8"/>
        <v>2600</v>
      </c>
      <c r="N19" s="152">
        <f t="shared" si="8"/>
        <v>2600</v>
      </c>
      <c r="O19" s="152">
        <f t="shared" si="8"/>
        <v>2600</v>
      </c>
      <c r="P19" s="152">
        <f t="shared" si="8"/>
        <v>0</v>
      </c>
      <c r="Q19" s="457">
        <f t="shared" si="9"/>
        <v>8424</v>
      </c>
      <c r="R19" s="457">
        <f t="shared" si="9"/>
        <v>9005.256</v>
      </c>
      <c r="S19" s="272"/>
    </row>
    <row r="20" spans="1:19" s="6" customFormat="1" ht="64.5" customHeight="1">
      <c r="A20" s="595" t="s">
        <v>457</v>
      </c>
      <c r="B20" s="604" t="s">
        <v>222</v>
      </c>
      <c r="C20" s="466" t="s">
        <v>458</v>
      </c>
      <c r="D20" s="597">
        <f t="shared" si="10"/>
        <v>3450</v>
      </c>
      <c r="E20" s="597">
        <f t="shared" si="10"/>
        <v>1791.7</v>
      </c>
      <c r="F20" s="597">
        <f t="shared" si="10"/>
        <v>2090</v>
      </c>
      <c r="G20" s="597">
        <f>9214.3+37.1</f>
        <v>9251.4</v>
      </c>
      <c r="H20" s="597">
        <v>6445.7</v>
      </c>
      <c r="I20" s="597">
        <v>10000</v>
      </c>
      <c r="J20" s="598">
        <v>7800</v>
      </c>
      <c r="K20" s="460">
        <f>J20*1.058</f>
        <v>8252.4</v>
      </c>
      <c r="L20" s="461">
        <f>K20*1.055</f>
        <v>8706.282</v>
      </c>
      <c r="M20" s="152">
        <f>J20/3</f>
        <v>2600</v>
      </c>
      <c r="N20" s="152">
        <f>J20/3</f>
        <v>2600</v>
      </c>
      <c r="O20" s="152">
        <f>J20/3</f>
        <v>2600</v>
      </c>
      <c r="P20" s="152">
        <v>0</v>
      </c>
      <c r="Q20" s="457">
        <f>J20*108%</f>
        <v>8424</v>
      </c>
      <c r="R20" s="457">
        <f>Q20*106.9%</f>
        <v>9005.256</v>
      </c>
      <c r="S20" s="272"/>
    </row>
    <row r="21" spans="1:19" s="6" customFormat="1" ht="31.5" customHeight="1">
      <c r="A21" s="595" t="s">
        <v>459</v>
      </c>
      <c r="B21" s="604" t="s">
        <v>262</v>
      </c>
      <c r="C21" s="466" t="s">
        <v>460</v>
      </c>
      <c r="D21" s="597">
        <f>D22</f>
        <v>3450</v>
      </c>
      <c r="E21" s="597">
        <f>E22</f>
        <v>1791.7</v>
      </c>
      <c r="F21" s="597">
        <v>2090</v>
      </c>
      <c r="G21" s="597">
        <f aca="true" t="shared" si="11" ref="G21:P21">G22</f>
        <v>24</v>
      </c>
      <c r="H21" s="597">
        <f t="shared" si="11"/>
        <v>12</v>
      </c>
      <c r="I21" s="597">
        <f t="shared" si="11"/>
        <v>24</v>
      </c>
      <c r="J21" s="598">
        <f t="shared" si="11"/>
        <v>12.5</v>
      </c>
      <c r="K21" s="504">
        <f t="shared" si="11"/>
        <v>13.225000000000001</v>
      </c>
      <c r="L21" s="505">
        <f t="shared" si="11"/>
        <v>13.952375</v>
      </c>
      <c r="M21" s="152">
        <f t="shared" si="11"/>
        <v>3.125</v>
      </c>
      <c r="N21" s="152">
        <f t="shared" si="11"/>
        <v>3.125</v>
      </c>
      <c r="O21" s="152">
        <f t="shared" si="11"/>
        <v>3.125</v>
      </c>
      <c r="P21" s="152">
        <f t="shared" si="11"/>
        <v>3.125</v>
      </c>
      <c r="Q21" s="457">
        <f>Q22</f>
        <v>13.5</v>
      </c>
      <c r="R21" s="457">
        <f>R22</f>
        <v>14.4315</v>
      </c>
      <c r="S21" s="272"/>
    </row>
    <row r="22" spans="1:19" s="6" customFormat="1" ht="66.75" customHeight="1" thickBot="1">
      <c r="A22" s="595" t="s">
        <v>461</v>
      </c>
      <c r="B22" s="604" t="s">
        <v>264</v>
      </c>
      <c r="C22" s="466" t="s">
        <v>340</v>
      </c>
      <c r="D22" s="597">
        <v>3450</v>
      </c>
      <c r="E22" s="597">
        <v>1791.7</v>
      </c>
      <c r="F22" s="597">
        <v>2090</v>
      </c>
      <c r="G22" s="597">
        <v>24</v>
      </c>
      <c r="H22" s="597">
        <v>12</v>
      </c>
      <c r="I22" s="597">
        <v>24</v>
      </c>
      <c r="J22" s="598">
        <v>12.5</v>
      </c>
      <c r="K22" s="460">
        <f>J22*1.058</f>
        <v>13.225000000000001</v>
      </c>
      <c r="L22" s="461">
        <f>K22*1.055</f>
        <v>13.952375</v>
      </c>
      <c r="M22" s="152">
        <f>J22/4</f>
        <v>3.125</v>
      </c>
      <c r="N22" s="152">
        <f>J22/4</f>
        <v>3.125</v>
      </c>
      <c r="O22" s="152">
        <f>J22/4</f>
        <v>3.125</v>
      </c>
      <c r="P22" s="152">
        <f>J22/4</f>
        <v>3.125</v>
      </c>
      <c r="Q22" s="457">
        <f>J22*108%</f>
        <v>13.5</v>
      </c>
      <c r="R22" s="457">
        <f>Q22*106.9%</f>
        <v>14.4315</v>
      </c>
      <c r="S22" s="272"/>
    </row>
    <row r="23" spans="1:19" s="5" customFormat="1" ht="43.5" customHeight="1" hidden="1">
      <c r="A23" s="599" t="s">
        <v>462</v>
      </c>
      <c r="B23" s="600" t="s">
        <v>69</v>
      </c>
      <c r="C23" s="605" t="s">
        <v>324</v>
      </c>
      <c r="D23" s="597">
        <v>15</v>
      </c>
      <c r="E23" s="597">
        <v>0</v>
      </c>
      <c r="F23" s="597">
        <v>15</v>
      </c>
      <c r="G23" s="603">
        <f aca="true" t="shared" si="12" ref="G23:L25">G24</f>
        <v>0</v>
      </c>
      <c r="H23" s="603">
        <f t="shared" si="12"/>
        <v>0</v>
      </c>
      <c r="I23" s="603">
        <f t="shared" si="12"/>
        <v>1402.9</v>
      </c>
      <c r="J23" s="603">
        <f t="shared" si="12"/>
        <v>0</v>
      </c>
      <c r="K23" s="464">
        <f t="shared" si="12"/>
        <v>0</v>
      </c>
      <c r="L23" s="464">
        <f t="shared" si="12"/>
        <v>0</v>
      </c>
      <c r="M23" s="178"/>
      <c r="N23" s="178"/>
      <c r="O23" s="178"/>
      <c r="P23" s="178"/>
      <c r="Q23" s="464" t="e">
        <f>Q24+Q28</f>
        <v>#REF!</v>
      </c>
      <c r="R23" s="464" t="e">
        <f>R24+R28</f>
        <v>#REF!</v>
      </c>
      <c r="S23" s="273"/>
    </row>
    <row r="24" spans="1:19" s="5" customFormat="1" ht="31.5" customHeight="1" hidden="1">
      <c r="A24" s="595" t="s">
        <v>78</v>
      </c>
      <c r="B24" s="604" t="s">
        <v>325</v>
      </c>
      <c r="C24" s="465" t="s">
        <v>326</v>
      </c>
      <c r="D24" s="597" t="e">
        <f>D25+#REF!</f>
        <v>#REF!</v>
      </c>
      <c r="E24" s="597" t="e">
        <f>E25+#REF!</f>
        <v>#REF!</v>
      </c>
      <c r="F24" s="597" t="e">
        <f>F25+#REF!</f>
        <v>#REF!</v>
      </c>
      <c r="G24" s="598">
        <f t="shared" si="12"/>
        <v>0</v>
      </c>
      <c r="H24" s="598">
        <f t="shared" si="12"/>
        <v>0</v>
      </c>
      <c r="I24" s="598">
        <f t="shared" si="12"/>
        <v>1402.9</v>
      </c>
      <c r="J24" s="598">
        <f t="shared" si="12"/>
        <v>0</v>
      </c>
      <c r="K24" s="455">
        <f t="shared" si="12"/>
        <v>0</v>
      </c>
      <c r="L24" s="455">
        <f t="shared" si="12"/>
        <v>0</v>
      </c>
      <c r="M24" s="178"/>
      <c r="N24" s="178"/>
      <c r="O24" s="178"/>
      <c r="P24" s="178"/>
      <c r="Q24" s="457">
        <f>Q25</f>
        <v>0</v>
      </c>
      <c r="R24" s="457">
        <f>R25</f>
        <v>0</v>
      </c>
      <c r="S24" s="273"/>
    </row>
    <row r="25" spans="1:19" s="5" customFormat="1" ht="45" customHeight="1" hidden="1">
      <c r="A25" s="595" t="s">
        <v>79</v>
      </c>
      <c r="B25" s="604" t="s">
        <v>327</v>
      </c>
      <c r="C25" s="465" t="s">
        <v>463</v>
      </c>
      <c r="D25" s="602" t="e">
        <f>D26+D36+D33</f>
        <v>#REF!</v>
      </c>
      <c r="E25" s="602" t="e">
        <f>E26+E36+E33</f>
        <v>#REF!</v>
      </c>
      <c r="F25" s="602" t="e">
        <f>F26+F36+F33</f>
        <v>#REF!</v>
      </c>
      <c r="G25" s="598">
        <f t="shared" si="12"/>
        <v>0</v>
      </c>
      <c r="H25" s="598">
        <f t="shared" si="12"/>
        <v>0</v>
      </c>
      <c r="I25" s="598">
        <f t="shared" si="12"/>
        <v>1402.9</v>
      </c>
      <c r="J25" s="598">
        <f t="shared" si="12"/>
        <v>0</v>
      </c>
      <c r="K25" s="457">
        <f t="shared" si="12"/>
        <v>0</v>
      </c>
      <c r="L25" s="457">
        <f t="shared" si="12"/>
        <v>0</v>
      </c>
      <c r="M25" s="178"/>
      <c r="N25" s="178"/>
      <c r="O25" s="178"/>
      <c r="P25" s="178"/>
      <c r="Q25" s="457">
        <f>Q26</f>
        <v>0</v>
      </c>
      <c r="R25" s="457">
        <f>R26</f>
        <v>0</v>
      </c>
      <c r="S25" s="273"/>
    </row>
    <row r="26" spans="1:19" s="4" customFormat="1" ht="72" customHeight="1" hidden="1">
      <c r="A26" s="595" t="s">
        <v>143</v>
      </c>
      <c r="B26" s="604" t="s">
        <v>464</v>
      </c>
      <c r="C26" s="465" t="s">
        <v>465</v>
      </c>
      <c r="D26" s="602" t="e">
        <f>#REF!</f>
        <v>#REF!</v>
      </c>
      <c r="E26" s="602" t="e">
        <f>#REF!</f>
        <v>#REF!</v>
      </c>
      <c r="F26" s="602" t="e">
        <f>#REF!</f>
        <v>#REF!</v>
      </c>
      <c r="G26" s="598">
        <v>0</v>
      </c>
      <c r="H26" s="598">
        <v>0</v>
      </c>
      <c r="I26" s="598">
        <v>1402.9</v>
      </c>
      <c r="J26" s="598">
        <v>0</v>
      </c>
      <c r="K26" s="457">
        <f>J26*1.058</f>
        <v>0</v>
      </c>
      <c r="L26" s="457">
        <f>K26*1.055</f>
        <v>0</v>
      </c>
      <c r="M26" s="183"/>
      <c r="N26" s="183"/>
      <c r="O26" s="183"/>
      <c r="P26" s="183"/>
      <c r="Q26" s="457">
        <f>J26*108%</f>
        <v>0</v>
      </c>
      <c r="R26" s="457">
        <f>Q26*106.9%</f>
        <v>0</v>
      </c>
      <c r="S26" s="271"/>
    </row>
    <row r="27" spans="1:19" s="5" customFormat="1" ht="21" customHeight="1" thickBot="1">
      <c r="A27" s="599" t="s">
        <v>265</v>
      </c>
      <c r="B27" s="600" t="s">
        <v>35</v>
      </c>
      <c r="C27" s="601" t="s">
        <v>34</v>
      </c>
      <c r="D27" s="597">
        <v>15</v>
      </c>
      <c r="E27" s="597">
        <v>0</v>
      </c>
      <c r="F27" s="597">
        <v>15</v>
      </c>
      <c r="G27" s="602" t="e">
        <f aca="true" t="shared" si="13" ref="G27:P28">G28</f>
        <v>#REF!</v>
      </c>
      <c r="H27" s="602" t="e">
        <f t="shared" si="13"/>
        <v>#REF!</v>
      </c>
      <c r="I27" s="602" t="e">
        <f t="shared" si="13"/>
        <v>#REF!</v>
      </c>
      <c r="J27" s="603">
        <f t="shared" si="13"/>
        <v>3010</v>
      </c>
      <c r="K27" s="506" t="e">
        <f t="shared" si="13"/>
        <v>#REF!</v>
      </c>
      <c r="L27" s="507" t="e">
        <f t="shared" si="13"/>
        <v>#REF!</v>
      </c>
      <c r="M27" s="144" t="e">
        <f t="shared" si="13"/>
        <v>#REF!</v>
      </c>
      <c r="N27" s="144" t="e">
        <f t="shared" si="13"/>
        <v>#REF!</v>
      </c>
      <c r="O27" s="144" t="e">
        <f t="shared" si="13"/>
        <v>#REF!</v>
      </c>
      <c r="P27" s="144" t="e">
        <f t="shared" si="13"/>
        <v>#REF!</v>
      </c>
      <c r="Q27" s="455" t="e">
        <f>Q28</f>
        <v>#REF!</v>
      </c>
      <c r="R27" s="455" t="e">
        <f>R28</f>
        <v>#REF!</v>
      </c>
      <c r="S27" s="273"/>
    </row>
    <row r="28" spans="1:19" s="5" customFormat="1" ht="39.75" customHeight="1">
      <c r="A28" s="595" t="s">
        <v>80</v>
      </c>
      <c r="B28" s="604" t="s">
        <v>466</v>
      </c>
      <c r="C28" s="466" t="s">
        <v>467</v>
      </c>
      <c r="D28" s="602" t="e">
        <f>D29+#REF!</f>
        <v>#REF!</v>
      </c>
      <c r="E28" s="602" t="e">
        <f>E29+#REF!</f>
        <v>#REF!</v>
      </c>
      <c r="F28" s="602" t="e">
        <f>F29+#REF!</f>
        <v>#REF!</v>
      </c>
      <c r="G28" s="597" t="e">
        <f t="shared" si="13"/>
        <v>#REF!</v>
      </c>
      <c r="H28" s="597" t="e">
        <f t="shared" si="13"/>
        <v>#REF!</v>
      </c>
      <c r="I28" s="597" t="e">
        <f t="shared" si="13"/>
        <v>#REF!</v>
      </c>
      <c r="J28" s="598">
        <f t="shared" si="13"/>
        <v>3010</v>
      </c>
      <c r="K28" s="467" t="e">
        <f t="shared" si="13"/>
        <v>#REF!</v>
      </c>
      <c r="L28" s="459" t="e">
        <f t="shared" si="13"/>
        <v>#REF!</v>
      </c>
      <c r="M28" s="152" t="e">
        <f t="shared" si="13"/>
        <v>#REF!</v>
      </c>
      <c r="N28" s="152" t="e">
        <f t="shared" si="13"/>
        <v>#REF!</v>
      </c>
      <c r="O28" s="152" t="e">
        <f t="shared" si="13"/>
        <v>#REF!</v>
      </c>
      <c r="P28" s="152" t="e">
        <f t="shared" si="13"/>
        <v>#REF!</v>
      </c>
      <c r="Q28" s="457" t="e">
        <f>Q29</f>
        <v>#REF!</v>
      </c>
      <c r="R28" s="457" t="e">
        <f>R29</f>
        <v>#REF!</v>
      </c>
      <c r="S28" s="273"/>
    </row>
    <row r="29" spans="1:24" s="5" customFormat="1" ht="52.5" customHeight="1">
      <c r="A29" s="595" t="s">
        <v>81</v>
      </c>
      <c r="B29" s="604" t="s">
        <v>468</v>
      </c>
      <c r="C29" s="466" t="s">
        <v>469</v>
      </c>
      <c r="D29" s="602" t="e">
        <f>D30+D37+D34</f>
        <v>#REF!</v>
      </c>
      <c r="E29" s="602" t="e">
        <f>E30+E37+E34</f>
        <v>#REF!</v>
      </c>
      <c r="F29" s="602" t="e">
        <f>F30+F37+F34</f>
        <v>#REF!</v>
      </c>
      <c r="G29" s="597" t="e">
        <f>G30+#REF!</f>
        <v>#REF!</v>
      </c>
      <c r="H29" s="597" t="e">
        <f>H30+#REF!</f>
        <v>#REF!</v>
      </c>
      <c r="I29" s="597" t="e">
        <f>I30+#REF!</f>
        <v>#REF!</v>
      </c>
      <c r="J29" s="598">
        <f>J30</f>
        <v>3010</v>
      </c>
      <c r="K29" s="468" t="e">
        <f>K30+#REF!</f>
        <v>#REF!</v>
      </c>
      <c r="L29" s="469" t="e">
        <f>L30+#REF!</f>
        <v>#REF!</v>
      </c>
      <c r="M29" s="152" t="e">
        <f>M30+#REF!</f>
        <v>#REF!</v>
      </c>
      <c r="N29" s="152" t="e">
        <f>N30+#REF!</f>
        <v>#REF!</v>
      </c>
      <c r="O29" s="152" t="e">
        <f>O30+#REF!</f>
        <v>#REF!</v>
      </c>
      <c r="P29" s="152" t="e">
        <f>P30+#REF!</f>
        <v>#REF!</v>
      </c>
      <c r="Q29" s="457" t="e">
        <f>Q30+#REF!</f>
        <v>#REF!</v>
      </c>
      <c r="R29" s="457" t="e">
        <f>R30+#REF!</f>
        <v>#REF!</v>
      </c>
      <c r="S29" s="273"/>
      <c r="X29" s="266"/>
    </row>
    <row r="30" spans="1:19" s="4" customFormat="1" ht="70.5" customHeight="1" hidden="1">
      <c r="A30" s="595" t="s">
        <v>82</v>
      </c>
      <c r="B30" s="596" t="s">
        <v>163</v>
      </c>
      <c r="C30" s="466" t="s">
        <v>470</v>
      </c>
      <c r="D30" s="602">
        <f>D33</f>
        <v>5841.7</v>
      </c>
      <c r="E30" s="602">
        <f>E33</f>
        <v>4377.6</v>
      </c>
      <c r="F30" s="602">
        <f>F33</f>
        <v>5841.7</v>
      </c>
      <c r="G30" s="597">
        <v>20</v>
      </c>
      <c r="H30" s="597">
        <v>19.8</v>
      </c>
      <c r="I30" s="597">
        <v>30</v>
      </c>
      <c r="J30" s="598">
        <f>SUM(J31:J32)</f>
        <v>3010</v>
      </c>
      <c r="K30" s="460">
        <f>J30*1.058</f>
        <v>3184.5800000000004</v>
      </c>
      <c r="L30" s="461">
        <f>K30*1.055</f>
        <v>3359.7319</v>
      </c>
      <c r="M30" s="152">
        <f>J30/4</f>
        <v>752.5</v>
      </c>
      <c r="N30" s="152">
        <f>J30/4</f>
        <v>752.5</v>
      </c>
      <c r="O30" s="152">
        <f>J30/4</f>
        <v>752.5</v>
      </c>
      <c r="P30" s="152">
        <f>J30/4</f>
        <v>752.5</v>
      </c>
      <c r="Q30" s="457">
        <f>J30*108%</f>
        <v>3250.8</v>
      </c>
      <c r="R30" s="457">
        <f>Q30*106.9%</f>
        <v>3475.1052</v>
      </c>
      <c r="S30" s="271"/>
    </row>
    <row r="31" spans="1:19" s="6" customFormat="1" ht="52.5" customHeight="1">
      <c r="A31" s="595" t="s">
        <v>471</v>
      </c>
      <c r="B31" s="596" t="s">
        <v>472</v>
      </c>
      <c r="C31" s="466" t="s">
        <v>473</v>
      </c>
      <c r="D31" s="602"/>
      <c r="E31" s="602"/>
      <c r="F31" s="602"/>
      <c r="G31" s="597"/>
      <c r="H31" s="597"/>
      <c r="I31" s="597"/>
      <c r="J31" s="598">
        <v>3000</v>
      </c>
      <c r="K31" s="470"/>
      <c r="L31" s="470"/>
      <c r="M31" s="456"/>
      <c r="N31" s="456"/>
      <c r="O31" s="456"/>
      <c r="P31" s="456"/>
      <c r="Q31" s="457"/>
      <c r="R31" s="457"/>
      <c r="S31" s="272"/>
    </row>
    <row r="32" spans="1:19" s="6" customFormat="1" ht="42" customHeight="1" thickBot="1">
      <c r="A32" s="595" t="s">
        <v>426</v>
      </c>
      <c r="B32" s="596" t="s">
        <v>474</v>
      </c>
      <c r="C32" s="466" t="s">
        <v>473</v>
      </c>
      <c r="D32" s="602"/>
      <c r="E32" s="602"/>
      <c r="F32" s="602"/>
      <c r="G32" s="597"/>
      <c r="H32" s="597"/>
      <c r="I32" s="597"/>
      <c r="J32" s="598">
        <v>10</v>
      </c>
      <c r="K32" s="470"/>
      <c r="L32" s="470"/>
      <c r="M32" s="456"/>
      <c r="N32" s="456"/>
      <c r="O32" s="456"/>
      <c r="P32" s="456"/>
      <c r="Q32" s="457"/>
      <c r="R32" s="457"/>
      <c r="S32" s="272"/>
    </row>
    <row r="33" spans="1:19" s="6" customFormat="1" ht="21" customHeight="1" thickBot="1">
      <c r="A33" s="599" t="s">
        <v>61</v>
      </c>
      <c r="B33" s="600" t="s">
        <v>36</v>
      </c>
      <c r="C33" s="606" t="s">
        <v>164</v>
      </c>
      <c r="D33" s="597">
        <v>5841.7</v>
      </c>
      <c r="E33" s="597">
        <v>4377.6</v>
      </c>
      <c r="F33" s="597">
        <v>5841.7</v>
      </c>
      <c r="G33" s="602" t="e">
        <f aca="true" t="shared" si="14" ref="G33:P33">G34</f>
        <v>#REF!</v>
      </c>
      <c r="H33" s="602" t="e">
        <f t="shared" si="14"/>
        <v>#REF!</v>
      </c>
      <c r="I33" s="602" t="e">
        <f t="shared" si="14"/>
        <v>#REF!</v>
      </c>
      <c r="J33" s="603">
        <f t="shared" si="14"/>
        <v>63428.799999999996</v>
      </c>
      <c r="K33" s="508" t="e">
        <f t="shared" si="14"/>
        <v>#REF!</v>
      </c>
      <c r="L33" s="509" t="e">
        <f t="shared" si="14"/>
        <v>#REF!</v>
      </c>
      <c r="M33" s="136" t="e">
        <f t="shared" si="14"/>
        <v>#REF!</v>
      </c>
      <c r="N33" s="136" t="e">
        <f t="shared" si="14"/>
        <v>#REF!</v>
      </c>
      <c r="O33" s="136" t="e">
        <f t="shared" si="14"/>
        <v>#REF!</v>
      </c>
      <c r="P33" s="136" t="e">
        <f t="shared" si="14"/>
        <v>#REF!</v>
      </c>
      <c r="Q33" s="454" t="e">
        <f>Q34</f>
        <v>#REF!</v>
      </c>
      <c r="R33" s="454" t="e">
        <f>R34</f>
        <v>#REF!</v>
      </c>
      <c r="S33" s="272"/>
    </row>
    <row r="34" spans="1:19" s="6" customFormat="1" ht="42.75" customHeight="1" thickBot="1">
      <c r="A34" s="599">
        <v>1</v>
      </c>
      <c r="B34" s="600" t="s">
        <v>475</v>
      </c>
      <c r="C34" s="601" t="s">
        <v>294</v>
      </c>
      <c r="D34" s="602">
        <v>0</v>
      </c>
      <c r="E34" s="602">
        <v>0</v>
      </c>
      <c r="F34" s="602">
        <v>0</v>
      </c>
      <c r="G34" s="602" t="e">
        <f>G35+G39+#REF!</f>
        <v>#REF!</v>
      </c>
      <c r="H34" s="602" t="e">
        <f>H35+H39+#REF!</f>
        <v>#REF!</v>
      </c>
      <c r="I34" s="602" t="e">
        <f>I35+I39+#REF!</f>
        <v>#REF!</v>
      </c>
      <c r="J34" s="603">
        <f>J35+J39</f>
        <v>63428.799999999996</v>
      </c>
      <c r="K34" s="510" t="e">
        <f>K35+K39+#REF!</f>
        <v>#REF!</v>
      </c>
      <c r="L34" s="511" t="e">
        <f>L35+L39+#REF!</f>
        <v>#REF!</v>
      </c>
      <c r="M34" s="144" t="e">
        <f>M35+M39+#REF!</f>
        <v>#REF!</v>
      </c>
      <c r="N34" s="144" t="e">
        <f>N35+N39+#REF!</f>
        <v>#REF!</v>
      </c>
      <c r="O34" s="144" t="e">
        <f>O35+O39+#REF!</f>
        <v>#REF!</v>
      </c>
      <c r="P34" s="144" t="e">
        <f>P35+P39+#REF!</f>
        <v>#REF!</v>
      </c>
      <c r="Q34" s="455" t="e">
        <f>Q35+Q39+#REF!</f>
        <v>#REF!</v>
      </c>
      <c r="R34" s="455" t="e">
        <f>R35+R39+#REF!</f>
        <v>#REF!</v>
      </c>
      <c r="S34" s="272"/>
    </row>
    <row r="35" spans="1:19" s="5" customFormat="1" ht="30" customHeight="1">
      <c r="A35" s="595" t="s">
        <v>74</v>
      </c>
      <c r="B35" s="596" t="s">
        <v>476</v>
      </c>
      <c r="C35" s="466" t="s">
        <v>477</v>
      </c>
      <c r="D35" s="597">
        <f>D36</f>
        <v>0</v>
      </c>
      <c r="E35" s="597">
        <f>E36</f>
        <v>0</v>
      </c>
      <c r="F35" s="597">
        <f>F36</f>
        <v>0</v>
      </c>
      <c r="G35" s="597">
        <f>G37</f>
        <v>8472</v>
      </c>
      <c r="H35" s="597">
        <f>H37</f>
        <v>5648</v>
      </c>
      <c r="I35" s="597">
        <f>H35/8*12</f>
        <v>8472</v>
      </c>
      <c r="J35" s="598">
        <f>J37</f>
        <v>61556.2</v>
      </c>
      <c r="K35" s="471">
        <f aca="true" t="shared" si="15" ref="K35:P35">K37</f>
        <v>58000</v>
      </c>
      <c r="L35" s="472">
        <f t="shared" si="15"/>
        <v>58000</v>
      </c>
      <c r="M35" s="152">
        <f t="shared" si="15"/>
        <v>15389.05</v>
      </c>
      <c r="N35" s="152">
        <f t="shared" si="15"/>
        <v>15389.05</v>
      </c>
      <c r="O35" s="152">
        <f t="shared" si="15"/>
        <v>15389.05</v>
      </c>
      <c r="P35" s="152">
        <f t="shared" si="15"/>
        <v>15389.05</v>
      </c>
      <c r="Q35" s="457">
        <f>Q37</f>
        <v>66480.696</v>
      </c>
      <c r="R35" s="457">
        <f>R37</f>
        <v>71067.864024</v>
      </c>
      <c r="S35" s="273"/>
    </row>
    <row r="36" spans="1:20" s="5" customFormat="1" ht="20.25" customHeight="1">
      <c r="A36" s="595" t="s">
        <v>59</v>
      </c>
      <c r="B36" s="596" t="s">
        <v>478</v>
      </c>
      <c r="C36" s="466" t="s">
        <v>157</v>
      </c>
      <c r="D36" s="597">
        <v>0</v>
      </c>
      <c r="E36" s="597">
        <v>0</v>
      </c>
      <c r="F36" s="597">
        <v>0</v>
      </c>
      <c r="G36" s="597">
        <f>G37</f>
        <v>8472</v>
      </c>
      <c r="H36" s="597">
        <f>H37</f>
        <v>5648</v>
      </c>
      <c r="I36" s="597">
        <f>H36/8*12</f>
        <v>8472</v>
      </c>
      <c r="J36" s="598">
        <f aca="true" t="shared" si="16" ref="J36:P36">J37</f>
        <v>61556.2</v>
      </c>
      <c r="K36" s="473">
        <f t="shared" si="16"/>
        <v>58000</v>
      </c>
      <c r="L36" s="474">
        <f t="shared" si="16"/>
        <v>58000</v>
      </c>
      <c r="M36" s="152">
        <f t="shared" si="16"/>
        <v>15389.05</v>
      </c>
      <c r="N36" s="152">
        <f t="shared" si="16"/>
        <v>15389.05</v>
      </c>
      <c r="O36" s="152">
        <f t="shared" si="16"/>
        <v>15389.05</v>
      </c>
      <c r="P36" s="152">
        <f t="shared" si="16"/>
        <v>15389.05</v>
      </c>
      <c r="Q36" s="457">
        <f>Q37</f>
        <v>66480.696</v>
      </c>
      <c r="R36" s="457">
        <f>R37</f>
        <v>71067.864024</v>
      </c>
      <c r="S36" s="273"/>
      <c r="T36" s="273">
        <f>J46-J39</f>
        <v>121843.69999999998</v>
      </c>
    </row>
    <row r="37" spans="1:20" s="5" customFormat="1" ht="42" customHeight="1" thickBot="1">
      <c r="A37" s="595" t="s">
        <v>58</v>
      </c>
      <c r="B37" s="596" t="s">
        <v>479</v>
      </c>
      <c r="C37" s="466" t="s">
        <v>480</v>
      </c>
      <c r="D37" s="597" t="e">
        <f>#REF!+D40</f>
        <v>#REF!</v>
      </c>
      <c r="E37" s="597" t="e">
        <f>#REF!+E40</f>
        <v>#REF!</v>
      </c>
      <c r="F37" s="597" t="e">
        <f>#REF!+F40</f>
        <v>#REF!</v>
      </c>
      <c r="G37" s="597">
        <v>8472</v>
      </c>
      <c r="H37" s="597">
        <v>5648</v>
      </c>
      <c r="I37" s="597">
        <f>H37/8*12</f>
        <v>8472</v>
      </c>
      <c r="J37" s="598">
        <v>61556.2</v>
      </c>
      <c r="K37" s="475">
        <v>58000</v>
      </c>
      <c r="L37" s="476">
        <v>58000</v>
      </c>
      <c r="M37" s="152">
        <f>J37/4</f>
        <v>15389.05</v>
      </c>
      <c r="N37" s="152">
        <f>J37/4</f>
        <v>15389.05</v>
      </c>
      <c r="O37" s="152">
        <f>J37/4</f>
        <v>15389.05</v>
      </c>
      <c r="P37" s="152">
        <f>J37/4</f>
        <v>15389.05</v>
      </c>
      <c r="Q37" s="457">
        <f>J37*108%</f>
        <v>66480.696</v>
      </c>
      <c r="R37" s="457">
        <f>Q37*106.9%</f>
        <v>71067.864024</v>
      </c>
      <c r="S37" s="273"/>
      <c r="T37" s="273">
        <f>T36*0.278</f>
        <v>33872.548599999995</v>
      </c>
    </row>
    <row r="38" spans="1:20" s="5" customFormat="1" ht="50.25" customHeight="1" hidden="1" thickBot="1">
      <c r="A38" s="595" t="s">
        <v>75</v>
      </c>
      <c r="B38" s="596" t="s">
        <v>481</v>
      </c>
      <c r="C38" s="466" t="s">
        <v>482</v>
      </c>
      <c r="D38" s="597"/>
      <c r="E38" s="597"/>
      <c r="F38" s="597"/>
      <c r="G38" s="597"/>
      <c r="H38" s="597"/>
      <c r="I38" s="597"/>
      <c r="J38" s="598">
        <v>6175.7</v>
      </c>
      <c r="K38" s="477"/>
      <c r="L38" s="478"/>
      <c r="M38" s="152"/>
      <c r="N38" s="152"/>
      <c r="O38" s="152"/>
      <c r="P38" s="152"/>
      <c r="Q38" s="457"/>
      <c r="R38" s="457"/>
      <c r="S38" s="273"/>
      <c r="T38" s="273"/>
    </row>
    <row r="39" spans="1:18" ht="26.25" customHeight="1" thickBot="1">
      <c r="A39" s="599">
        <v>2</v>
      </c>
      <c r="B39" s="600" t="s">
        <v>483</v>
      </c>
      <c r="C39" s="601" t="s">
        <v>484</v>
      </c>
      <c r="D39" s="597">
        <v>12.7</v>
      </c>
      <c r="E39" s="597">
        <v>0</v>
      </c>
      <c r="F39" s="597">
        <v>12.7</v>
      </c>
      <c r="G39" s="602" t="e">
        <f aca="true" t="shared" si="17" ref="G39:P39">G40+G44</f>
        <v>#REF!</v>
      </c>
      <c r="H39" s="602" t="e">
        <f t="shared" si="17"/>
        <v>#REF!</v>
      </c>
      <c r="I39" s="602" t="e">
        <f t="shared" si="17"/>
        <v>#REF!</v>
      </c>
      <c r="J39" s="603">
        <f t="shared" si="17"/>
        <v>1872.6</v>
      </c>
      <c r="K39" s="506" t="e">
        <f t="shared" si="17"/>
        <v>#REF!</v>
      </c>
      <c r="L39" s="507" t="e">
        <f t="shared" si="17"/>
        <v>#REF!</v>
      </c>
      <c r="M39" s="144" t="e">
        <f t="shared" si="17"/>
        <v>#REF!</v>
      </c>
      <c r="N39" s="144" t="e">
        <f t="shared" si="17"/>
        <v>#REF!</v>
      </c>
      <c r="O39" s="144" t="e">
        <f t="shared" si="17"/>
        <v>#REF!</v>
      </c>
      <c r="P39" s="144" t="e">
        <f t="shared" si="17"/>
        <v>#REF!</v>
      </c>
      <c r="Q39" s="455" t="e">
        <f>Q40+Q44</f>
        <v>#REF!</v>
      </c>
      <c r="R39" s="455" t="e">
        <f>R40+R44</f>
        <v>#REF!</v>
      </c>
    </row>
    <row r="40" spans="1:18" ht="31.5" customHeight="1">
      <c r="A40" s="595" t="s">
        <v>76</v>
      </c>
      <c r="B40" s="604" t="s">
        <v>485</v>
      </c>
      <c r="C40" s="466" t="s">
        <v>93</v>
      </c>
      <c r="D40" s="602">
        <f>D42</f>
        <v>228.1</v>
      </c>
      <c r="E40" s="602">
        <f>E42</f>
        <v>114.1</v>
      </c>
      <c r="F40" s="602">
        <f>F42</f>
        <v>228.1</v>
      </c>
      <c r="G40" s="597">
        <f>G41</f>
        <v>662.2</v>
      </c>
      <c r="H40" s="597">
        <f>H41</f>
        <v>485.4</v>
      </c>
      <c r="I40" s="597">
        <f>H40/8*12</f>
        <v>728.0999999999999</v>
      </c>
      <c r="J40" s="598">
        <f>J42+J43</f>
        <v>908.5999999999999</v>
      </c>
      <c r="K40" s="512">
        <f aca="true" t="shared" si="18" ref="K40:P40">K41</f>
        <v>740.1</v>
      </c>
      <c r="L40" s="513">
        <f t="shared" si="18"/>
        <v>780.8</v>
      </c>
      <c r="M40" s="152">
        <f t="shared" si="18"/>
        <v>227.14999999999998</v>
      </c>
      <c r="N40" s="152">
        <f t="shared" si="18"/>
        <v>227.14999999999998</v>
      </c>
      <c r="O40" s="152">
        <f t="shared" si="18"/>
        <v>227.14999999999998</v>
      </c>
      <c r="P40" s="152">
        <f t="shared" si="18"/>
        <v>227.14999999999998</v>
      </c>
      <c r="Q40" s="479">
        <f>Q42+Q43</f>
        <v>981.288</v>
      </c>
      <c r="R40" s="479">
        <f>R42+R43</f>
        <v>1048.996872</v>
      </c>
    </row>
    <row r="41" spans="1:18" ht="42.75" customHeight="1">
      <c r="A41" s="595" t="s">
        <v>77</v>
      </c>
      <c r="B41" s="604" t="s">
        <v>486</v>
      </c>
      <c r="C41" s="466" t="s">
        <v>487</v>
      </c>
      <c r="D41" s="597">
        <v>228.1</v>
      </c>
      <c r="E41" s="597">
        <v>114.1</v>
      </c>
      <c r="F41" s="597">
        <v>228.1</v>
      </c>
      <c r="G41" s="597">
        <f aca="true" t="shared" si="19" ref="G41:L41">G42+G43</f>
        <v>662.2</v>
      </c>
      <c r="H41" s="597">
        <f t="shared" si="19"/>
        <v>485.4</v>
      </c>
      <c r="I41" s="597">
        <f t="shared" si="19"/>
        <v>662.2</v>
      </c>
      <c r="J41" s="598">
        <f t="shared" si="19"/>
        <v>908.5999999999999</v>
      </c>
      <c r="K41" s="514">
        <f t="shared" si="19"/>
        <v>740.1</v>
      </c>
      <c r="L41" s="515">
        <f t="shared" si="19"/>
        <v>780.8</v>
      </c>
      <c r="M41" s="152">
        <f>J41/4</f>
        <v>227.14999999999998</v>
      </c>
      <c r="N41" s="152">
        <f>J41/4</f>
        <v>227.14999999999998</v>
      </c>
      <c r="O41" s="152">
        <f>J41/4</f>
        <v>227.14999999999998</v>
      </c>
      <c r="P41" s="152">
        <f>J41/4</f>
        <v>227.14999999999998</v>
      </c>
      <c r="Q41" s="479">
        <f>Q42</f>
        <v>972.864</v>
      </c>
      <c r="R41" s="479">
        <f>R42</f>
        <v>1039.991616</v>
      </c>
    </row>
    <row r="42" spans="1:18" ht="67.5" customHeight="1">
      <c r="A42" s="595" t="s">
        <v>168</v>
      </c>
      <c r="B42" s="596" t="s">
        <v>488</v>
      </c>
      <c r="C42" s="213" t="s">
        <v>267</v>
      </c>
      <c r="D42" s="597">
        <v>228.1</v>
      </c>
      <c r="E42" s="597">
        <v>114.1</v>
      </c>
      <c r="F42" s="597">
        <v>228.1</v>
      </c>
      <c r="G42" s="597">
        <v>657.2</v>
      </c>
      <c r="H42" s="597">
        <v>485.4</v>
      </c>
      <c r="I42" s="597">
        <v>657.2</v>
      </c>
      <c r="J42" s="598">
        <v>900.8</v>
      </c>
      <c r="K42" s="468">
        <v>740.1</v>
      </c>
      <c r="L42" s="469">
        <v>780.8</v>
      </c>
      <c r="M42" s="152">
        <f>J42/4</f>
        <v>225.2</v>
      </c>
      <c r="N42" s="152">
        <f>J42/4</f>
        <v>225.2</v>
      </c>
      <c r="O42" s="152">
        <f>J42/4</f>
        <v>225.2</v>
      </c>
      <c r="P42" s="152">
        <f>J42/4</f>
        <v>225.2</v>
      </c>
      <c r="Q42" s="457">
        <f>J42*108%</f>
        <v>972.864</v>
      </c>
      <c r="R42" s="457">
        <f>Q42*106.9%</f>
        <v>1039.991616</v>
      </c>
    </row>
    <row r="43" spans="1:18" ht="89.25" customHeight="1" thickBot="1">
      <c r="A43" s="595" t="s">
        <v>489</v>
      </c>
      <c r="B43" s="596" t="s">
        <v>490</v>
      </c>
      <c r="C43" s="213" t="s">
        <v>269</v>
      </c>
      <c r="D43" s="597">
        <v>228.1</v>
      </c>
      <c r="E43" s="597">
        <v>114.1</v>
      </c>
      <c r="F43" s="597">
        <v>228.1</v>
      </c>
      <c r="G43" s="597">
        <v>5</v>
      </c>
      <c r="H43" s="597"/>
      <c r="I43" s="597">
        <v>5</v>
      </c>
      <c r="J43" s="598">
        <v>7.8</v>
      </c>
      <c r="K43" s="480"/>
      <c r="L43" s="481"/>
      <c r="M43" s="152">
        <f>J43/4</f>
        <v>1.95</v>
      </c>
      <c r="N43" s="152">
        <f>J43/4</f>
        <v>1.95</v>
      </c>
      <c r="O43" s="152">
        <f>J43/4</f>
        <v>1.95</v>
      </c>
      <c r="P43" s="152">
        <f>J43/4</f>
        <v>1.95</v>
      </c>
      <c r="Q43" s="457">
        <f>J43*108%</f>
        <v>8.424</v>
      </c>
      <c r="R43" s="457">
        <f>Q43*106.9%</f>
        <v>9.005256</v>
      </c>
    </row>
    <row r="44" spans="1:18" ht="43.5" customHeight="1" thickBot="1">
      <c r="A44" s="595" t="s">
        <v>459</v>
      </c>
      <c r="B44" s="596" t="s">
        <v>491</v>
      </c>
      <c r="C44" s="213" t="s">
        <v>270</v>
      </c>
      <c r="D44" s="598" t="e">
        <f>D6+D28</f>
        <v>#REF!</v>
      </c>
      <c r="E44" s="598" t="e">
        <f>E6+E28</f>
        <v>#REF!</v>
      </c>
      <c r="F44" s="598" t="e">
        <f>F6+F28</f>
        <v>#REF!</v>
      </c>
      <c r="G44" s="597" t="e">
        <f>G45+#REF!</f>
        <v>#REF!</v>
      </c>
      <c r="H44" s="597" t="e">
        <f>H45+#REF!</f>
        <v>#REF!</v>
      </c>
      <c r="I44" s="597" t="e">
        <f>I45+#REF!</f>
        <v>#REF!</v>
      </c>
      <c r="J44" s="598">
        <f>J45</f>
        <v>964</v>
      </c>
      <c r="K44" s="482" t="e">
        <f>K45+#REF!</f>
        <v>#REF!</v>
      </c>
      <c r="L44" s="483" t="e">
        <f>L45+#REF!</f>
        <v>#REF!</v>
      </c>
      <c r="M44" s="152" t="e">
        <f>M45+#REF!</f>
        <v>#REF!</v>
      </c>
      <c r="N44" s="152" t="e">
        <f>N45+#REF!</f>
        <v>#REF!</v>
      </c>
      <c r="O44" s="152" t="e">
        <f>O45+#REF!</f>
        <v>#REF!</v>
      </c>
      <c r="P44" s="152" t="e">
        <f>P45+#REF!</f>
        <v>#REF!</v>
      </c>
      <c r="Q44" s="457" t="e">
        <f>Q45+#REF!</f>
        <v>#REF!</v>
      </c>
      <c r="R44" s="457" t="e">
        <f>R45+#REF!</f>
        <v>#REF!</v>
      </c>
    </row>
    <row r="45" spans="1:19" ht="41.25" customHeight="1" thickBot="1">
      <c r="A45" s="595" t="s">
        <v>461</v>
      </c>
      <c r="B45" s="596" t="s">
        <v>492</v>
      </c>
      <c r="C45" s="466" t="s">
        <v>271</v>
      </c>
      <c r="D45" s="602" t="e">
        <f>D44-#REF!</f>
        <v>#REF!</v>
      </c>
      <c r="E45" s="602" t="e">
        <f>E44-#REF!</f>
        <v>#REF!</v>
      </c>
      <c r="F45" s="602" t="e">
        <f>F44-#REF!</f>
        <v>#REF!</v>
      </c>
      <c r="G45" s="597">
        <v>602.4</v>
      </c>
      <c r="H45" s="597">
        <v>258</v>
      </c>
      <c r="I45" s="597">
        <f>H45/8*12</f>
        <v>387</v>
      </c>
      <c r="J45" s="598">
        <v>964</v>
      </c>
      <c r="K45" s="484">
        <v>1155.3</v>
      </c>
      <c r="L45" s="469">
        <v>1218.8</v>
      </c>
      <c r="M45" s="152">
        <f>J45/4</f>
        <v>241</v>
      </c>
      <c r="N45" s="152">
        <f>J45/4</f>
        <v>241</v>
      </c>
      <c r="O45" s="152">
        <f>J45/4</f>
        <v>241</v>
      </c>
      <c r="P45" s="152">
        <f>J45/4</f>
        <v>241</v>
      </c>
      <c r="Q45" s="457">
        <f>J45*108%</f>
        <v>1041.1200000000001</v>
      </c>
      <c r="R45" s="457">
        <f>Q45*106.9%</f>
        <v>1112.95728</v>
      </c>
      <c r="S45" s="2"/>
    </row>
    <row r="46" spans="1:19" ht="19.5" thickBot="1">
      <c r="A46" s="565" t="s">
        <v>26</v>
      </c>
      <c r="B46" s="566"/>
      <c r="C46" s="567"/>
      <c r="D46" s="603" t="e">
        <f>D44-D28</f>
        <v>#REF!</v>
      </c>
      <c r="E46" s="603" t="e">
        <f>E44-E28</f>
        <v>#REF!</v>
      </c>
      <c r="F46" s="603" t="e">
        <f>F44-F28</f>
        <v>#REF!</v>
      </c>
      <c r="G46" s="603" t="e">
        <f aca="true" t="shared" si="20" ref="G46:P46">G6+G33</f>
        <v>#REF!</v>
      </c>
      <c r="H46" s="603" t="e">
        <f t="shared" si="20"/>
        <v>#REF!</v>
      </c>
      <c r="I46" s="603" t="e">
        <f t="shared" si="20"/>
        <v>#REF!</v>
      </c>
      <c r="J46" s="603">
        <f t="shared" si="20"/>
        <v>123716.29999999999</v>
      </c>
      <c r="K46" s="485" t="e">
        <f t="shared" si="20"/>
        <v>#REF!</v>
      </c>
      <c r="L46" s="486" t="e">
        <f t="shared" si="20"/>
        <v>#REF!</v>
      </c>
      <c r="M46" s="156" t="e">
        <f t="shared" si="20"/>
        <v>#REF!</v>
      </c>
      <c r="N46" s="156" t="e">
        <f t="shared" si="20"/>
        <v>#REF!</v>
      </c>
      <c r="O46" s="156" t="e">
        <f t="shared" si="20"/>
        <v>#REF!</v>
      </c>
      <c r="P46" s="156" t="e">
        <f t="shared" si="20"/>
        <v>#REF!</v>
      </c>
      <c r="Q46" s="463" t="e">
        <f>Q6+Q33</f>
        <v>#REF!</v>
      </c>
      <c r="R46" s="463" t="e">
        <f>R6+R33</f>
        <v>#REF!</v>
      </c>
      <c r="S46" s="2"/>
    </row>
    <row r="50" spans="16:19" ht="12.75">
      <c r="P50" s="117"/>
      <c r="S50" s="2"/>
    </row>
  </sheetData>
  <sheetProtection/>
  <mergeCells count="4">
    <mergeCell ref="A46:C46"/>
    <mergeCell ref="C1:P1"/>
    <mergeCell ref="A3:P3"/>
    <mergeCell ref="A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8"/>
  <sheetViews>
    <sheetView zoomScalePageLayoutView="0" workbookViewId="0" topLeftCell="A1">
      <selection activeCell="D103" sqref="D103"/>
    </sheetView>
  </sheetViews>
  <sheetFormatPr defaultColWidth="9.140625" defaultRowHeight="12.75"/>
  <cols>
    <col min="1" max="1" width="46.140625" style="8" customWidth="1"/>
    <col min="2" max="2" width="16.00390625" style="9" customWidth="1"/>
    <col min="3" max="3" width="13.28125" style="8" customWidth="1"/>
    <col min="4" max="4" width="13.57421875" style="8" customWidth="1"/>
    <col min="5" max="5" width="0.13671875" style="9" hidden="1" customWidth="1"/>
    <col min="6" max="6" width="8.140625" style="10" hidden="1" customWidth="1"/>
    <col min="7" max="7" width="8.00390625" style="0" hidden="1" customWidth="1"/>
    <col min="8" max="8" width="5.140625" style="0" hidden="1" customWidth="1"/>
    <col min="9" max="9" width="11.7109375" style="0" hidden="1" customWidth="1"/>
    <col min="10" max="10" width="11.00390625" style="0" hidden="1" customWidth="1"/>
    <col min="11" max="11" width="12.57421875" style="0" hidden="1" customWidth="1"/>
    <col min="12" max="12" width="15.28125" style="0" customWidth="1"/>
    <col min="13" max="16" width="0" style="0" hidden="1" customWidth="1"/>
  </cols>
  <sheetData>
    <row r="1" spans="1:12" ht="15.75">
      <c r="A1" s="265"/>
      <c r="B1" s="320"/>
      <c r="C1" s="228"/>
      <c r="D1" s="228"/>
      <c r="E1" s="228"/>
      <c r="F1" s="229"/>
      <c r="G1" s="115"/>
      <c r="H1" s="115"/>
      <c r="I1" s="115"/>
      <c r="J1" s="115"/>
      <c r="K1" s="115"/>
      <c r="L1" s="230" t="s">
        <v>284</v>
      </c>
    </row>
    <row r="2" spans="1:12" ht="12.75">
      <c r="A2" s="115"/>
      <c r="B2" s="115"/>
      <c r="C2" s="115"/>
      <c r="D2" s="115"/>
      <c r="E2" s="115"/>
      <c r="F2" s="115"/>
      <c r="G2" s="115"/>
      <c r="H2" s="115"/>
      <c r="I2" s="115"/>
      <c r="J2" s="370"/>
      <c r="K2" s="370"/>
      <c r="L2" s="352" t="s">
        <v>446</v>
      </c>
    </row>
    <row r="3" spans="1:12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327"/>
    </row>
    <row r="4" spans="1:12" ht="12.75">
      <c r="A4" s="115"/>
      <c r="B4" s="115"/>
      <c r="C4" s="115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2.75" customHeight="1">
      <c r="A5" s="570" t="s">
        <v>496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</row>
    <row r="6" spans="1:17" ht="27" customHeight="1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Q6" s="385"/>
    </row>
    <row r="7" spans="1:17" ht="13.5" thickBot="1">
      <c r="A7" s="232"/>
      <c r="B7" s="231"/>
      <c r="C7" s="231"/>
      <c r="D7" s="233"/>
      <c r="E7" s="233"/>
      <c r="F7" s="234"/>
      <c r="G7" s="115"/>
      <c r="H7" s="115"/>
      <c r="I7" s="115"/>
      <c r="J7" s="115"/>
      <c r="K7" s="115"/>
      <c r="L7" s="115"/>
      <c r="Q7" s="385"/>
    </row>
    <row r="8" spans="1:17" ht="85.5" customHeight="1" thickBot="1">
      <c r="A8" s="235" t="s">
        <v>41</v>
      </c>
      <c r="B8" s="236" t="s">
        <v>42</v>
      </c>
      <c r="C8" s="236" t="s">
        <v>31</v>
      </c>
      <c r="D8" s="236" t="s">
        <v>43</v>
      </c>
      <c r="E8" s="236" t="s">
        <v>44</v>
      </c>
      <c r="F8" s="237" t="s">
        <v>208</v>
      </c>
      <c r="G8" s="419" t="s">
        <v>209</v>
      </c>
      <c r="H8" s="419" t="s">
        <v>205</v>
      </c>
      <c r="I8" s="237" t="s">
        <v>237</v>
      </c>
      <c r="J8" s="419" t="s">
        <v>281</v>
      </c>
      <c r="K8" s="419" t="s">
        <v>238</v>
      </c>
      <c r="L8" s="420" t="s">
        <v>282</v>
      </c>
      <c r="Q8" s="385"/>
    </row>
    <row r="9" spans="1:17" ht="20.25" customHeight="1">
      <c r="A9" s="371" t="s">
        <v>85</v>
      </c>
      <c r="B9" s="351" t="s">
        <v>30</v>
      </c>
      <c r="C9" s="351"/>
      <c r="D9" s="351"/>
      <c r="E9" s="351"/>
      <c r="F9" s="372" t="e">
        <f>F11+F14+#REF!</f>
        <v>#REF!</v>
      </c>
      <c r="G9" s="372" t="e">
        <f>G11+G14</f>
        <v>#REF!</v>
      </c>
      <c r="H9" s="372" t="e">
        <f>H11+H14</f>
        <v>#REF!</v>
      </c>
      <c r="I9" s="373" t="e">
        <f>I11+I34+#REF!</f>
        <v>#REF!</v>
      </c>
      <c r="J9" s="373" t="e">
        <f>J11+J34+#REF!</f>
        <v>#REF!</v>
      </c>
      <c r="K9" s="373" t="e">
        <f>K11+K34+#REF!</f>
        <v>#REF!</v>
      </c>
      <c r="L9" s="374">
        <f>L10+L14+L29+L57+L60+L64+L53+L26+L44</f>
        <v>19653.499999999996</v>
      </c>
      <c r="Q9" s="385"/>
    </row>
    <row r="10" spans="1:17" ht="41.25" customHeight="1">
      <c r="A10" s="274" t="s">
        <v>289</v>
      </c>
      <c r="B10" s="276" t="s">
        <v>57</v>
      </c>
      <c r="C10" s="276"/>
      <c r="D10" s="276"/>
      <c r="E10" s="277"/>
      <c r="F10" s="278"/>
      <c r="G10" s="278"/>
      <c r="H10" s="278"/>
      <c r="I10" s="279"/>
      <c r="J10" s="279"/>
      <c r="K10" s="279"/>
      <c r="L10" s="280">
        <f>L11</f>
        <v>1272.3</v>
      </c>
      <c r="Q10" s="385"/>
    </row>
    <row r="11" spans="1:17" ht="12.75">
      <c r="A11" s="281" t="s">
        <v>159</v>
      </c>
      <c r="B11" s="277" t="s">
        <v>57</v>
      </c>
      <c r="C11" s="277" t="s">
        <v>367</v>
      </c>
      <c r="D11" s="277"/>
      <c r="E11" s="277"/>
      <c r="F11" s="278">
        <f aca="true" t="shared" si="0" ref="F11:K11">F13</f>
        <v>753.2</v>
      </c>
      <c r="G11" s="278">
        <f t="shared" si="0"/>
        <v>530.7</v>
      </c>
      <c r="H11" s="278">
        <f t="shared" si="0"/>
        <v>753.2</v>
      </c>
      <c r="I11" s="283">
        <f t="shared" si="0"/>
        <v>918.9</v>
      </c>
      <c r="J11" s="283">
        <f t="shared" si="0"/>
        <v>606.1</v>
      </c>
      <c r="K11" s="283">
        <f t="shared" si="0"/>
        <v>918.9</v>
      </c>
      <c r="L11" s="284">
        <f>L12</f>
        <v>1272.3</v>
      </c>
      <c r="Q11" s="385"/>
    </row>
    <row r="12" spans="1:17" ht="56.25" customHeight="1">
      <c r="A12" s="238" t="s">
        <v>304</v>
      </c>
      <c r="B12" s="240" t="s">
        <v>57</v>
      </c>
      <c r="C12" s="240" t="s">
        <v>367</v>
      </c>
      <c r="D12" s="240" t="s">
        <v>302</v>
      </c>
      <c r="E12" s="240"/>
      <c r="F12" s="241" t="e">
        <f>'[2]роспись'!H9</f>
        <v>#REF!</v>
      </c>
      <c r="G12" s="241">
        <v>530.7</v>
      </c>
      <c r="H12" s="241">
        <v>753.2</v>
      </c>
      <c r="I12" s="242">
        <v>918.9</v>
      </c>
      <c r="J12" s="243">
        <v>606.1</v>
      </c>
      <c r="K12" s="244">
        <v>918.9</v>
      </c>
      <c r="L12" s="245">
        <f>L13</f>
        <v>1272.3</v>
      </c>
      <c r="M12" s="267"/>
      <c r="Q12" s="385"/>
    </row>
    <row r="13" spans="1:17" ht="36">
      <c r="A13" s="238" t="s">
        <v>305</v>
      </c>
      <c r="B13" s="240" t="s">
        <v>57</v>
      </c>
      <c r="C13" s="240" t="s">
        <v>367</v>
      </c>
      <c r="D13" s="240" t="s">
        <v>303</v>
      </c>
      <c r="E13" s="240"/>
      <c r="F13" s="241">
        <f>'[2]роспись'!H10</f>
        <v>753.2</v>
      </c>
      <c r="G13" s="241">
        <v>530.7</v>
      </c>
      <c r="H13" s="241">
        <v>753.2</v>
      </c>
      <c r="I13" s="242">
        <v>918.9</v>
      </c>
      <c r="J13" s="243">
        <v>606.1</v>
      </c>
      <c r="K13" s="244">
        <v>918.9</v>
      </c>
      <c r="L13" s="245">
        <v>1272.3</v>
      </c>
      <c r="Q13" s="385"/>
    </row>
    <row r="14" spans="1:17" ht="39.75" customHeight="1">
      <c r="A14" s="281" t="s">
        <v>203</v>
      </c>
      <c r="B14" s="277" t="s">
        <v>45</v>
      </c>
      <c r="C14" s="277"/>
      <c r="D14" s="277"/>
      <c r="E14" s="277"/>
      <c r="F14" s="278" t="e">
        <f>F23</f>
        <v>#REF!</v>
      </c>
      <c r="G14" s="278" t="e">
        <f>G23</f>
        <v>#REF!</v>
      </c>
      <c r="H14" s="278" t="e">
        <f>H23</f>
        <v>#REF!</v>
      </c>
      <c r="I14" s="283" t="e">
        <f>I23+I16</f>
        <v>#REF!</v>
      </c>
      <c r="J14" s="283" t="e">
        <f>J23+J16</f>
        <v>#REF!</v>
      </c>
      <c r="K14" s="283" t="e">
        <f>K23+K16</f>
        <v>#REF!</v>
      </c>
      <c r="L14" s="284">
        <f>L23+L16</f>
        <v>2586.6000000000004</v>
      </c>
      <c r="Q14" s="385"/>
    </row>
    <row r="15" spans="1:17" ht="30" customHeight="1">
      <c r="A15" s="421" t="s">
        <v>407</v>
      </c>
      <c r="B15" s="422" t="s">
        <v>45</v>
      </c>
      <c r="C15" s="277" t="s">
        <v>368</v>
      </c>
      <c r="D15" s="422"/>
      <c r="E15" s="277"/>
      <c r="F15" s="278" t="e">
        <f>#REF!</f>
        <v>#REF!</v>
      </c>
      <c r="G15" s="278" t="e">
        <f>#REF!</f>
        <v>#REF!</v>
      </c>
      <c r="H15" s="278" t="e">
        <f>#REF!</f>
        <v>#REF!</v>
      </c>
      <c r="I15" s="283" t="e">
        <f>#REF!</f>
        <v>#REF!</v>
      </c>
      <c r="J15" s="283" t="e">
        <f>#REF!</f>
        <v>#REF!</v>
      </c>
      <c r="K15" s="283" t="e">
        <f>#REF!</f>
        <v>#REF!</v>
      </c>
      <c r="L15" s="284">
        <f>L16+L23</f>
        <v>2586.6000000000004</v>
      </c>
      <c r="Q15" s="385"/>
    </row>
    <row r="16" spans="1:17" ht="24">
      <c r="A16" s="281" t="s">
        <v>240</v>
      </c>
      <c r="B16" s="277" t="s">
        <v>45</v>
      </c>
      <c r="C16" s="277" t="s">
        <v>402</v>
      </c>
      <c r="D16" s="277"/>
      <c r="E16" s="277"/>
      <c r="F16" s="278"/>
      <c r="G16" s="278"/>
      <c r="H16" s="278"/>
      <c r="I16" s="283" t="e">
        <f>I18+#REF!</f>
        <v>#REF!</v>
      </c>
      <c r="J16" s="283" t="e">
        <f>J18+#REF!</f>
        <v>#REF!</v>
      </c>
      <c r="K16" s="283" t="e">
        <f>K18+#REF!</f>
        <v>#REF!</v>
      </c>
      <c r="L16" s="284">
        <f>L18+L20+L21</f>
        <v>2428.3</v>
      </c>
      <c r="Q16" s="385"/>
    </row>
    <row r="17" spans="1:17" ht="48">
      <c r="A17" s="377" t="s">
        <v>306</v>
      </c>
      <c r="B17" s="240" t="s">
        <v>45</v>
      </c>
      <c r="C17" s="240" t="s">
        <v>402</v>
      </c>
      <c r="D17" s="240" t="s">
        <v>302</v>
      </c>
      <c r="E17" s="240"/>
      <c r="F17" s="241"/>
      <c r="G17" s="241"/>
      <c r="H17" s="241"/>
      <c r="I17" s="257">
        <v>519.5</v>
      </c>
      <c r="J17" s="249">
        <v>330.8</v>
      </c>
      <c r="K17" s="250">
        <v>519.7</v>
      </c>
      <c r="L17" s="258">
        <f>L18</f>
        <v>1615.1</v>
      </c>
      <c r="Q17" s="385"/>
    </row>
    <row r="18" spans="1:17" ht="24">
      <c r="A18" s="377" t="s">
        <v>307</v>
      </c>
      <c r="B18" s="240" t="s">
        <v>45</v>
      </c>
      <c r="C18" s="240" t="s">
        <v>402</v>
      </c>
      <c r="D18" s="240" t="s">
        <v>303</v>
      </c>
      <c r="E18" s="240"/>
      <c r="F18" s="241"/>
      <c r="G18" s="241"/>
      <c r="H18" s="241"/>
      <c r="I18" s="257">
        <v>519.5</v>
      </c>
      <c r="J18" s="249">
        <v>330.8</v>
      </c>
      <c r="K18" s="250">
        <v>519.7</v>
      </c>
      <c r="L18" s="258">
        <v>1615.1</v>
      </c>
      <c r="Q18" s="385"/>
    </row>
    <row r="19" spans="1:17" ht="35.25" customHeight="1">
      <c r="A19" s="360" t="s">
        <v>309</v>
      </c>
      <c r="B19" s="240" t="s">
        <v>45</v>
      </c>
      <c r="C19" s="240" t="s">
        <v>402</v>
      </c>
      <c r="D19" s="240" t="s">
        <v>308</v>
      </c>
      <c r="E19" s="240"/>
      <c r="F19" s="241"/>
      <c r="G19" s="241"/>
      <c r="H19" s="241"/>
      <c r="I19" s="257">
        <v>519.5</v>
      </c>
      <c r="J19" s="249">
        <v>330.8</v>
      </c>
      <c r="K19" s="250">
        <v>519.7</v>
      </c>
      <c r="L19" s="258">
        <f>L20</f>
        <v>813.2</v>
      </c>
      <c r="Q19" s="385"/>
    </row>
    <row r="20" spans="1:17" ht="36">
      <c r="A20" s="238" t="s">
        <v>287</v>
      </c>
      <c r="B20" s="240" t="s">
        <v>45</v>
      </c>
      <c r="C20" s="240" t="s">
        <v>402</v>
      </c>
      <c r="D20" s="240" t="s">
        <v>242</v>
      </c>
      <c r="E20" s="240"/>
      <c r="F20" s="241"/>
      <c r="G20" s="241"/>
      <c r="H20" s="241"/>
      <c r="I20" s="257">
        <v>519.5</v>
      </c>
      <c r="J20" s="249">
        <v>330.8</v>
      </c>
      <c r="K20" s="250">
        <v>519.7</v>
      </c>
      <c r="L20" s="258">
        <v>813.2</v>
      </c>
      <c r="Q20" s="385"/>
    </row>
    <row r="21" spans="1:17" ht="24" customHeight="1" hidden="1">
      <c r="A21" s="360" t="s">
        <v>311</v>
      </c>
      <c r="B21" s="240" t="s">
        <v>45</v>
      </c>
      <c r="C21" s="240" t="s">
        <v>402</v>
      </c>
      <c r="D21" s="240" t="s">
        <v>310</v>
      </c>
      <c r="E21" s="240"/>
      <c r="F21" s="241"/>
      <c r="G21" s="241"/>
      <c r="H21" s="241"/>
      <c r="I21" s="257"/>
      <c r="J21" s="336"/>
      <c r="K21" s="250"/>
      <c r="L21" s="258">
        <f>L22</f>
        <v>0</v>
      </c>
      <c r="Q21" s="385"/>
    </row>
    <row r="22" spans="1:17" ht="24" customHeight="1" hidden="1">
      <c r="A22" s="238" t="s">
        <v>313</v>
      </c>
      <c r="B22" s="240" t="s">
        <v>45</v>
      </c>
      <c r="C22" s="240" t="s">
        <v>402</v>
      </c>
      <c r="D22" s="240" t="s">
        <v>312</v>
      </c>
      <c r="E22" s="240"/>
      <c r="F22" s="241"/>
      <c r="G22" s="241"/>
      <c r="H22" s="241"/>
      <c r="I22" s="257"/>
      <c r="J22" s="336"/>
      <c r="K22" s="250"/>
      <c r="L22" s="258">
        <f>'[3]Вед. 2020 (прил 4)'!N23</f>
        <v>0</v>
      </c>
      <c r="Q22" s="385"/>
    </row>
    <row r="23" spans="1:17" ht="30" customHeight="1">
      <c r="A23" s="421" t="s">
        <v>221</v>
      </c>
      <c r="B23" s="422" t="s">
        <v>45</v>
      </c>
      <c r="C23" s="277" t="s">
        <v>403</v>
      </c>
      <c r="D23" s="422"/>
      <c r="E23" s="277"/>
      <c r="F23" s="278" t="e">
        <f>#REF!</f>
        <v>#REF!</v>
      </c>
      <c r="G23" s="278" t="e">
        <f>#REF!</f>
        <v>#REF!</v>
      </c>
      <c r="H23" s="278" t="e">
        <f>#REF!</f>
        <v>#REF!</v>
      </c>
      <c r="I23" s="283" t="e">
        <f>#REF!</f>
        <v>#REF!</v>
      </c>
      <c r="J23" s="283" t="e">
        <f>#REF!</f>
        <v>#REF!</v>
      </c>
      <c r="K23" s="283" t="e">
        <f>#REF!</f>
        <v>#REF!</v>
      </c>
      <c r="L23" s="284">
        <f>L24</f>
        <v>158.3</v>
      </c>
      <c r="Q23" s="385"/>
    </row>
    <row r="24" spans="1:17" ht="51" customHeight="1">
      <c r="A24" s="238" t="s">
        <v>304</v>
      </c>
      <c r="B24" s="240" t="s">
        <v>45</v>
      </c>
      <c r="C24" s="240" t="s">
        <v>403</v>
      </c>
      <c r="D24" s="240" t="s">
        <v>302</v>
      </c>
      <c r="E24" s="240"/>
      <c r="F24" s="241" t="e">
        <f>'[2]роспись'!H13</f>
        <v>#REF!</v>
      </c>
      <c r="G24" s="241">
        <v>530.7</v>
      </c>
      <c r="H24" s="241">
        <v>753.2</v>
      </c>
      <c r="I24" s="242">
        <v>918.9</v>
      </c>
      <c r="J24" s="243">
        <v>606.1</v>
      </c>
      <c r="K24" s="244">
        <v>918.9</v>
      </c>
      <c r="L24" s="245">
        <f>L25</f>
        <v>158.3</v>
      </c>
      <c r="Q24" s="385"/>
    </row>
    <row r="25" spans="1:17" ht="27" customHeight="1">
      <c r="A25" s="238" t="s">
        <v>305</v>
      </c>
      <c r="B25" s="240" t="s">
        <v>45</v>
      </c>
      <c r="C25" s="240" t="s">
        <v>403</v>
      </c>
      <c r="D25" s="240" t="s">
        <v>303</v>
      </c>
      <c r="E25" s="240"/>
      <c r="F25" s="241" t="e">
        <f>'[2]роспись'!H14</f>
        <v>#REF!</v>
      </c>
      <c r="G25" s="241">
        <v>530.7</v>
      </c>
      <c r="H25" s="241">
        <v>753.2</v>
      </c>
      <c r="I25" s="242">
        <v>918.9</v>
      </c>
      <c r="J25" s="243">
        <v>606.1</v>
      </c>
      <c r="K25" s="244">
        <v>918.9</v>
      </c>
      <c r="L25" s="245">
        <v>158.3</v>
      </c>
      <c r="Q25" s="385"/>
    </row>
    <row r="26" spans="1:17" ht="36">
      <c r="A26" s="375" t="s">
        <v>245</v>
      </c>
      <c r="B26" s="277" t="s">
        <v>178</v>
      </c>
      <c r="C26" s="277" t="s">
        <v>374</v>
      </c>
      <c r="D26" s="277"/>
      <c r="E26" s="240"/>
      <c r="F26" s="241">
        <f>F28</f>
        <v>70</v>
      </c>
      <c r="G26" s="241">
        <f aca="true" t="shared" si="1" ref="G26:L26">G28</f>
        <v>0</v>
      </c>
      <c r="H26" s="241">
        <f t="shared" si="1"/>
        <v>20</v>
      </c>
      <c r="I26" s="283">
        <f t="shared" si="1"/>
        <v>60</v>
      </c>
      <c r="J26" s="283">
        <f t="shared" si="1"/>
        <v>30</v>
      </c>
      <c r="K26" s="283">
        <f t="shared" si="1"/>
        <v>60</v>
      </c>
      <c r="L26" s="284">
        <f t="shared" si="1"/>
        <v>84</v>
      </c>
      <c r="Q26" s="385"/>
    </row>
    <row r="27" spans="1:17" ht="24">
      <c r="A27" s="382" t="s">
        <v>311</v>
      </c>
      <c r="B27" s="240" t="s">
        <v>178</v>
      </c>
      <c r="C27" s="240" t="s">
        <v>374</v>
      </c>
      <c r="D27" s="240" t="s">
        <v>310</v>
      </c>
      <c r="E27" s="240"/>
      <c r="F27" s="241">
        <v>70</v>
      </c>
      <c r="G27" s="241"/>
      <c r="H27" s="241">
        <v>20</v>
      </c>
      <c r="I27" s="242">
        <v>60</v>
      </c>
      <c r="J27" s="249">
        <v>30</v>
      </c>
      <c r="K27" s="250">
        <v>60</v>
      </c>
      <c r="L27" s="245">
        <f>L28</f>
        <v>84</v>
      </c>
      <c r="Q27" s="385"/>
    </row>
    <row r="28" spans="1:17" ht="24">
      <c r="A28" s="382" t="s">
        <v>313</v>
      </c>
      <c r="B28" s="240" t="s">
        <v>178</v>
      </c>
      <c r="C28" s="240" t="s">
        <v>374</v>
      </c>
      <c r="D28" s="240" t="s">
        <v>312</v>
      </c>
      <c r="E28" s="240"/>
      <c r="F28" s="241">
        <v>70</v>
      </c>
      <c r="G28" s="241"/>
      <c r="H28" s="241">
        <v>20</v>
      </c>
      <c r="I28" s="242">
        <v>60</v>
      </c>
      <c r="J28" s="249">
        <v>30</v>
      </c>
      <c r="K28" s="250">
        <v>60</v>
      </c>
      <c r="L28" s="245">
        <v>84</v>
      </c>
      <c r="Q28" s="385"/>
    </row>
    <row r="29" spans="1:17" ht="48">
      <c r="A29" s="281" t="s">
        <v>241</v>
      </c>
      <c r="B29" s="277" t="s">
        <v>60</v>
      </c>
      <c r="C29" s="277"/>
      <c r="D29" s="277"/>
      <c r="E29" s="240"/>
      <c r="F29" s="241">
        <f>F31</f>
        <v>812</v>
      </c>
      <c r="G29" s="241">
        <f>G31</f>
        <v>615.3</v>
      </c>
      <c r="H29" s="241">
        <f>H31</f>
        <v>812</v>
      </c>
      <c r="I29" s="283" t="e">
        <f>I31+I34+I44</f>
        <v>#REF!</v>
      </c>
      <c r="J29" s="283" t="e">
        <f>J31+J34+J44</f>
        <v>#REF!</v>
      </c>
      <c r="K29" s="283" t="e">
        <f>K31+K34+K44</f>
        <v>#REF!</v>
      </c>
      <c r="L29" s="284">
        <f>L31+L34+L47+L41</f>
        <v>9925.9</v>
      </c>
      <c r="N29" s="267">
        <f>L29+L10+L14-L44-L47</f>
        <v>12876.2</v>
      </c>
      <c r="Q29" s="385"/>
    </row>
    <row r="30" spans="1:17" ht="42" customHeight="1">
      <c r="A30" s="281" t="s">
        <v>406</v>
      </c>
      <c r="B30" s="277" t="s">
        <v>60</v>
      </c>
      <c r="C30" s="277" t="s">
        <v>369</v>
      </c>
      <c r="D30" s="277"/>
      <c r="E30" s="277"/>
      <c r="F30" s="278">
        <v>812</v>
      </c>
      <c r="G30" s="278">
        <v>615.3</v>
      </c>
      <c r="H30" s="278">
        <v>812</v>
      </c>
      <c r="I30" s="283">
        <f aca="true" t="shared" si="2" ref="I30:L31">I32</f>
        <v>941.8</v>
      </c>
      <c r="J30" s="283">
        <f t="shared" si="2"/>
        <v>625.6</v>
      </c>
      <c r="K30" s="283">
        <f t="shared" si="2"/>
        <v>941.8</v>
      </c>
      <c r="L30" s="284">
        <f>L31+L34+L41</f>
        <v>9025.1</v>
      </c>
      <c r="N30" s="267" t="e">
        <f>#REF!-N25</f>
        <v>#REF!</v>
      </c>
      <c r="Q30" s="385"/>
    </row>
    <row r="31" spans="1:17" ht="36">
      <c r="A31" s="281" t="s">
        <v>165</v>
      </c>
      <c r="B31" s="277" t="s">
        <v>60</v>
      </c>
      <c r="C31" s="277" t="s">
        <v>404</v>
      </c>
      <c r="D31" s="277"/>
      <c r="E31" s="277"/>
      <c r="F31" s="278">
        <v>812</v>
      </c>
      <c r="G31" s="278">
        <v>615.3</v>
      </c>
      <c r="H31" s="278">
        <v>812</v>
      </c>
      <c r="I31" s="283">
        <f t="shared" si="2"/>
        <v>941.8</v>
      </c>
      <c r="J31" s="283">
        <f t="shared" si="2"/>
        <v>625.6</v>
      </c>
      <c r="K31" s="283">
        <f t="shared" si="2"/>
        <v>941.8</v>
      </c>
      <c r="L31" s="284">
        <f t="shared" si="2"/>
        <v>1326</v>
      </c>
      <c r="N31" s="267" t="e">
        <f>#REF!-N29</f>
        <v>#REF!</v>
      </c>
      <c r="Q31" s="385"/>
    </row>
    <row r="32" spans="1:17" ht="48">
      <c r="A32" s="238" t="s">
        <v>306</v>
      </c>
      <c r="B32" s="240" t="s">
        <v>60</v>
      </c>
      <c r="C32" s="240" t="s">
        <v>404</v>
      </c>
      <c r="D32" s="240" t="s">
        <v>302</v>
      </c>
      <c r="E32" s="240"/>
      <c r="F32" s="241">
        <f aca="true" t="shared" si="3" ref="F32:H33">F33</f>
        <v>8080.000000000001</v>
      </c>
      <c r="G32" s="241">
        <f t="shared" si="3"/>
        <v>5102.6</v>
      </c>
      <c r="H32" s="241">
        <f t="shared" si="3"/>
        <v>8080</v>
      </c>
      <c r="I32" s="242">
        <v>941.8</v>
      </c>
      <c r="J32" s="241">
        <v>625.6</v>
      </c>
      <c r="K32" s="241">
        <v>941.8</v>
      </c>
      <c r="L32" s="245">
        <f>L33</f>
        <v>1326</v>
      </c>
      <c r="Q32" s="385"/>
    </row>
    <row r="33" spans="1:17" ht="24">
      <c r="A33" s="238" t="s">
        <v>307</v>
      </c>
      <c r="B33" s="240" t="s">
        <v>60</v>
      </c>
      <c r="C33" s="240" t="s">
        <v>404</v>
      </c>
      <c r="D33" s="240" t="s">
        <v>303</v>
      </c>
      <c r="E33" s="240"/>
      <c r="F33" s="241">
        <f t="shared" si="3"/>
        <v>8080.000000000001</v>
      </c>
      <c r="G33" s="241">
        <f t="shared" si="3"/>
        <v>5102.6</v>
      </c>
      <c r="H33" s="241">
        <f t="shared" si="3"/>
        <v>8080</v>
      </c>
      <c r="I33" s="242">
        <v>941.8</v>
      </c>
      <c r="J33" s="241">
        <v>625.6</v>
      </c>
      <c r="K33" s="241">
        <v>941.8</v>
      </c>
      <c r="L33" s="245">
        <v>1326</v>
      </c>
      <c r="Q33" s="385"/>
    </row>
    <row r="34" spans="1:17" ht="36">
      <c r="A34" s="375" t="s">
        <v>172</v>
      </c>
      <c r="B34" s="277" t="s">
        <v>60</v>
      </c>
      <c r="C34" s="277" t="s">
        <v>405</v>
      </c>
      <c r="D34" s="277"/>
      <c r="E34" s="277"/>
      <c r="F34" s="278">
        <f>'[2]роспись'!H22</f>
        <v>8080.000000000001</v>
      </c>
      <c r="G34" s="278">
        <v>5102.6</v>
      </c>
      <c r="H34" s="278">
        <v>8080</v>
      </c>
      <c r="I34" s="283" t="e">
        <f>I36+I38</f>
        <v>#REF!</v>
      </c>
      <c r="J34" s="283" t="e">
        <f>J36+J38</f>
        <v>#REF!</v>
      </c>
      <c r="K34" s="283" t="e">
        <f>K36+K38</f>
        <v>#REF!</v>
      </c>
      <c r="L34" s="284">
        <f>L35+L37+L39</f>
        <v>7252.2</v>
      </c>
      <c r="Q34" s="385"/>
    </row>
    <row r="35" spans="1:18" ht="48">
      <c r="A35" s="238" t="s">
        <v>306</v>
      </c>
      <c r="B35" s="240" t="s">
        <v>60</v>
      </c>
      <c r="C35" s="240" t="s">
        <v>405</v>
      </c>
      <c r="D35" s="240" t="s">
        <v>302</v>
      </c>
      <c r="E35" s="246" t="s">
        <v>86</v>
      </c>
      <c r="F35" s="247">
        <f>F36</f>
        <v>12.7</v>
      </c>
      <c r="G35" s="247">
        <f>G36</f>
        <v>0</v>
      </c>
      <c r="H35" s="247" t="str">
        <f>H36</f>
        <v>12,7</v>
      </c>
      <c r="I35" s="242">
        <v>8250.9</v>
      </c>
      <c r="J35" s="247">
        <v>5168.5</v>
      </c>
      <c r="K35" s="247">
        <v>8250.9</v>
      </c>
      <c r="L35" s="248">
        <f>L36</f>
        <v>5697.4</v>
      </c>
      <c r="Q35" s="385"/>
      <c r="R35" s="267"/>
    </row>
    <row r="36" spans="1:17" ht="24">
      <c r="A36" s="238" t="s">
        <v>307</v>
      </c>
      <c r="B36" s="240" t="s">
        <v>60</v>
      </c>
      <c r="C36" s="240" t="s">
        <v>405</v>
      </c>
      <c r="D36" s="240" t="s">
        <v>303</v>
      </c>
      <c r="E36" s="246" t="s">
        <v>86</v>
      </c>
      <c r="F36" s="247">
        <f>F38</f>
        <v>12.7</v>
      </c>
      <c r="G36" s="247">
        <f>G38</f>
        <v>0</v>
      </c>
      <c r="H36" s="247" t="str">
        <f>H38</f>
        <v>12,7</v>
      </c>
      <c r="I36" s="242">
        <v>8250.9</v>
      </c>
      <c r="J36" s="247">
        <v>5168.5</v>
      </c>
      <c r="K36" s="247">
        <v>8250.9</v>
      </c>
      <c r="L36" s="248">
        <v>5697.4</v>
      </c>
      <c r="Q36" s="385"/>
    </row>
    <row r="37" spans="1:17" ht="32.25" customHeight="1">
      <c r="A37" s="360" t="s">
        <v>309</v>
      </c>
      <c r="B37" s="240" t="s">
        <v>60</v>
      </c>
      <c r="C37" s="240" t="s">
        <v>405</v>
      </c>
      <c r="D37" s="240" t="s">
        <v>308</v>
      </c>
      <c r="E37" s="246" t="s">
        <v>86</v>
      </c>
      <c r="F37" s="247" t="e">
        <f>'[2]роспись'!H36</f>
        <v>#REF!</v>
      </c>
      <c r="G37" s="247"/>
      <c r="H37" s="247" t="s">
        <v>186</v>
      </c>
      <c r="I37" s="242" t="e">
        <f>I38+#REF!</f>
        <v>#REF!</v>
      </c>
      <c r="J37" s="242" t="e">
        <f>J38+#REF!</f>
        <v>#REF!</v>
      </c>
      <c r="K37" s="242" t="e">
        <f>K38+#REF!</f>
        <v>#REF!</v>
      </c>
      <c r="L37" s="245">
        <f>L38</f>
        <v>1534.8</v>
      </c>
      <c r="Q37" s="385"/>
    </row>
    <row r="38" spans="1:17" ht="36">
      <c r="A38" s="238" t="s">
        <v>287</v>
      </c>
      <c r="B38" s="240" t="s">
        <v>60</v>
      </c>
      <c r="C38" s="240" t="s">
        <v>405</v>
      </c>
      <c r="D38" s="240" t="s">
        <v>242</v>
      </c>
      <c r="E38" s="246" t="s">
        <v>86</v>
      </c>
      <c r="F38" s="247">
        <f>'[2]роспись'!H37</f>
        <v>12.7</v>
      </c>
      <c r="G38" s="247"/>
      <c r="H38" s="247" t="s">
        <v>186</v>
      </c>
      <c r="I38" s="242" t="e">
        <f>#REF!+#REF!</f>
        <v>#REF!</v>
      </c>
      <c r="J38" s="242" t="e">
        <f>#REF!+#REF!</f>
        <v>#REF!</v>
      </c>
      <c r="K38" s="242" t="e">
        <f>#REF!+#REF!</f>
        <v>#REF!</v>
      </c>
      <c r="L38" s="245">
        <v>1534.8</v>
      </c>
      <c r="Q38" s="385"/>
    </row>
    <row r="39" spans="1:17" ht="24">
      <c r="A39" s="360" t="s">
        <v>311</v>
      </c>
      <c r="B39" s="240" t="s">
        <v>60</v>
      </c>
      <c r="C39" s="240" t="s">
        <v>405</v>
      </c>
      <c r="D39" s="240" t="s">
        <v>310</v>
      </c>
      <c r="E39" s="240"/>
      <c r="F39" s="241"/>
      <c r="G39" s="241"/>
      <c r="H39" s="241"/>
      <c r="I39" s="241">
        <v>519.5</v>
      </c>
      <c r="J39" s="241">
        <v>330.8</v>
      </c>
      <c r="K39" s="241">
        <v>519.7</v>
      </c>
      <c r="L39" s="245">
        <f>L40</f>
        <v>20</v>
      </c>
      <c r="Q39" s="385"/>
    </row>
    <row r="40" spans="1:17" ht="19.5" customHeight="1">
      <c r="A40" s="238" t="s">
        <v>313</v>
      </c>
      <c r="B40" s="240" t="s">
        <v>60</v>
      </c>
      <c r="C40" s="240" t="s">
        <v>405</v>
      </c>
      <c r="D40" s="240" t="s">
        <v>312</v>
      </c>
      <c r="E40" s="246" t="s">
        <v>86</v>
      </c>
      <c r="F40" s="247" t="e">
        <f>'[2]роспись'!G46</f>
        <v>#REF!</v>
      </c>
      <c r="G40" s="247"/>
      <c r="H40" s="247" t="s">
        <v>186</v>
      </c>
      <c r="I40" s="241" t="e">
        <f>I44+I45</f>
        <v>#REF!</v>
      </c>
      <c r="J40" s="241" t="e">
        <f>J44+J45</f>
        <v>#REF!</v>
      </c>
      <c r="K40" s="241" t="e">
        <f>K44+K45</f>
        <v>#REF!</v>
      </c>
      <c r="L40" s="245">
        <v>20</v>
      </c>
      <c r="Q40" s="385"/>
    </row>
    <row r="41" spans="1:17" ht="31.5" customHeight="1">
      <c r="A41" s="281" t="s">
        <v>428</v>
      </c>
      <c r="B41" s="277" t="s">
        <v>60</v>
      </c>
      <c r="C41" s="277" t="s">
        <v>431</v>
      </c>
      <c r="D41" s="246"/>
      <c r="E41" s="247"/>
      <c r="F41" s="247"/>
      <c r="G41" s="247"/>
      <c r="H41" s="244"/>
      <c r="I41" s="244"/>
      <c r="J41" s="244"/>
      <c r="K41" s="348"/>
      <c r="L41" s="376">
        <f>L42</f>
        <v>446.9</v>
      </c>
      <c r="Q41" s="385"/>
    </row>
    <row r="42" spans="1:17" ht="19.5" customHeight="1">
      <c r="A42" s="377" t="s">
        <v>429</v>
      </c>
      <c r="B42" s="240" t="s">
        <v>60</v>
      </c>
      <c r="C42" s="240" t="s">
        <v>431</v>
      </c>
      <c r="D42" s="246" t="s">
        <v>302</v>
      </c>
      <c r="E42" s="247"/>
      <c r="F42" s="247"/>
      <c r="G42" s="247"/>
      <c r="H42" s="244"/>
      <c r="I42" s="244"/>
      <c r="J42" s="244"/>
      <c r="K42" s="348"/>
      <c r="L42" s="378">
        <f>L43</f>
        <v>446.9</v>
      </c>
      <c r="Q42" s="385"/>
    </row>
    <row r="43" spans="1:17" ht="19.5" customHeight="1">
      <c r="A43" s="379" t="s">
        <v>430</v>
      </c>
      <c r="B43" s="240" t="s">
        <v>60</v>
      </c>
      <c r="C43" s="240" t="s">
        <v>431</v>
      </c>
      <c r="D43" s="246" t="s">
        <v>303</v>
      </c>
      <c r="E43" s="247"/>
      <c r="F43" s="247"/>
      <c r="G43" s="247"/>
      <c r="H43" s="244"/>
      <c r="I43" s="244"/>
      <c r="J43" s="244"/>
      <c r="K43" s="348"/>
      <c r="L43" s="378">
        <v>446.9</v>
      </c>
      <c r="Q43" s="385"/>
    </row>
    <row r="44" spans="1:17" ht="51" customHeight="1">
      <c r="A44" s="375" t="s">
        <v>409</v>
      </c>
      <c r="B44" s="287" t="s">
        <v>178</v>
      </c>
      <c r="C44" s="287" t="s">
        <v>410</v>
      </c>
      <c r="D44" s="287"/>
      <c r="E44" s="287"/>
      <c r="F44" s="289">
        <v>50</v>
      </c>
      <c r="G44" s="278"/>
      <c r="H44" s="278"/>
      <c r="I44" s="290" t="e">
        <f>#REF!</f>
        <v>#REF!</v>
      </c>
      <c r="J44" s="290" t="e">
        <f>#REF!</f>
        <v>#REF!</v>
      </c>
      <c r="K44" s="290">
        <v>5</v>
      </c>
      <c r="L44" s="291">
        <f>L45</f>
        <v>7.8</v>
      </c>
      <c r="Q44" s="385"/>
    </row>
    <row r="45" spans="1:17" ht="25.5" customHeight="1">
      <c r="A45" s="360" t="s">
        <v>309</v>
      </c>
      <c r="B45" s="240" t="s">
        <v>178</v>
      </c>
      <c r="C45" s="246" t="s">
        <v>410</v>
      </c>
      <c r="D45" s="240" t="s">
        <v>308</v>
      </c>
      <c r="E45" s="246" t="s">
        <v>86</v>
      </c>
      <c r="F45" s="247" t="e">
        <f>'[2]роспись'!H39</f>
        <v>#REF!</v>
      </c>
      <c r="G45" s="247"/>
      <c r="H45" s="247" t="s">
        <v>186</v>
      </c>
      <c r="I45" s="242" t="e">
        <f>I46+#REF!</f>
        <v>#REF!</v>
      </c>
      <c r="J45" s="242" t="e">
        <f>J46+#REF!</f>
        <v>#REF!</v>
      </c>
      <c r="K45" s="242" t="e">
        <f>K46+#REF!</f>
        <v>#REF!</v>
      </c>
      <c r="L45" s="245">
        <f>L46</f>
        <v>7.8</v>
      </c>
      <c r="Q45" s="385"/>
    </row>
    <row r="46" spans="1:17" ht="27.75" customHeight="1">
      <c r="A46" s="238" t="s">
        <v>287</v>
      </c>
      <c r="B46" s="240" t="s">
        <v>178</v>
      </c>
      <c r="C46" s="246" t="s">
        <v>410</v>
      </c>
      <c r="D46" s="240" t="s">
        <v>242</v>
      </c>
      <c r="E46" s="246" t="s">
        <v>86</v>
      </c>
      <c r="F46" s="247" t="e">
        <f>'[2]роспись'!H40</f>
        <v>#REF!</v>
      </c>
      <c r="G46" s="247"/>
      <c r="H46" s="247" t="s">
        <v>186</v>
      </c>
      <c r="I46" s="242" t="e">
        <f>#REF!+#REF!</f>
        <v>#REF!</v>
      </c>
      <c r="J46" s="242" t="e">
        <f>#REF!+#REF!</f>
        <v>#REF!</v>
      </c>
      <c r="K46" s="242" t="e">
        <f>#REF!+#REF!</f>
        <v>#REF!</v>
      </c>
      <c r="L46" s="245">
        <v>7.8</v>
      </c>
      <c r="Q46" s="385"/>
    </row>
    <row r="47" spans="1:18" ht="48">
      <c r="A47" s="375" t="s">
        <v>411</v>
      </c>
      <c r="B47" s="277" t="s">
        <v>60</v>
      </c>
      <c r="C47" s="287" t="s">
        <v>412</v>
      </c>
      <c r="D47" s="277"/>
      <c r="E47" s="259"/>
      <c r="F47" s="260"/>
      <c r="G47" s="261"/>
      <c r="H47" s="261"/>
      <c r="I47" s="283">
        <f>I48</f>
        <v>657.2</v>
      </c>
      <c r="J47" s="283">
        <f>J48</f>
        <v>424.8</v>
      </c>
      <c r="K47" s="283">
        <f>K48</f>
        <v>657.2</v>
      </c>
      <c r="L47" s="284">
        <f>L48</f>
        <v>900.8000000000001</v>
      </c>
      <c r="Q47" s="385"/>
      <c r="R47" s="489" t="s">
        <v>494</v>
      </c>
    </row>
    <row r="48" spans="1:17" ht="24">
      <c r="A48" s="380" t="s">
        <v>173</v>
      </c>
      <c r="B48" s="240" t="s">
        <v>60</v>
      </c>
      <c r="C48" s="246" t="s">
        <v>412</v>
      </c>
      <c r="D48" s="240"/>
      <c r="E48" s="259"/>
      <c r="F48" s="260"/>
      <c r="G48" s="261"/>
      <c r="H48" s="261"/>
      <c r="I48" s="242">
        <v>657.2</v>
      </c>
      <c r="J48" s="242">
        <v>424.8</v>
      </c>
      <c r="K48" s="242">
        <v>657.2</v>
      </c>
      <c r="L48" s="245">
        <f>L49+L51</f>
        <v>900.8000000000001</v>
      </c>
      <c r="Q48" s="385"/>
    </row>
    <row r="49" spans="1:17" ht="57" customHeight="1">
      <c r="A49" s="238" t="s">
        <v>306</v>
      </c>
      <c r="B49" s="240" t="s">
        <v>60</v>
      </c>
      <c r="C49" s="246" t="s">
        <v>412</v>
      </c>
      <c r="D49" s="240" t="s">
        <v>302</v>
      </c>
      <c r="E49" s="259"/>
      <c r="F49" s="260"/>
      <c r="G49" s="261"/>
      <c r="H49" s="261"/>
      <c r="I49" s="242"/>
      <c r="J49" s="242"/>
      <c r="K49" s="242"/>
      <c r="L49" s="245">
        <f>L50</f>
        <v>829.7</v>
      </c>
      <c r="Q49" s="385"/>
    </row>
    <row r="50" spans="1:17" ht="24">
      <c r="A50" s="238" t="s">
        <v>307</v>
      </c>
      <c r="B50" s="240" t="s">
        <v>60</v>
      </c>
      <c r="C50" s="246" t="s">
        <v>412</v>
      </c>
      <c r="D50" s="240" t="s">
        <v>303</v>
      </c>
      <c r="E50" s="259"/>
      <c r="F50" s="260"/>
      <c r="G50" s="261"/>
      <c r="H50" s="261"/>
      <c r="I50" s="242"/>
      <c r="J50" s="242"/>
      <c r="K50" s="242"/>
      <c r="L50" s="245">
        <v>829.7</v>
      </c>
      <c r="Q50" s="385"/>
    </row>
    <row r="51" spans="1:17" ht="26.25" customHeight="1">
      <c r="A51" s="360" t="s">
        <v>309</v>
      </c>
      <c r="B51" s="240" t="s">
        <v>60</v>
      </c>
      <c r="C51" s="246" t="s">
        <v>412</v>
      </c>
      <c r="D51" s="240" t="s">
        <v>308</v>
      </c>
      <c r="E51" s="259"/>
      <c r="F51" s="260"/>
      <c r="G51" s="261"/>
      <c r="H51" s="261"/>
      <c r="I51" s="242"/>
      <c r="J51" s="242"/>
      <c r="K51" s="242"/>
      <c r="L51" s="245">
        <f>L52</f>
        <v>71.1</v>
      </c>
      <c r="Q51" s="385"/>
    </row>
    <row r="52" spans="1:17" ht="26.25" customHeight="1">
      <c r="A52" s="238" t="s">
        <v>287</v>
      </c>
      <c r="B52" s="240" t="s">
        <v>60</v>
      </c>
      <c r="C52" s="246" t="s">
        <v>412</v>
      </c>
      <c r="D52" s="240" t="s">
        <v>242</v>
      </c>
      <c r="E52" s="259"/>
      <c r="F52" s="260"/>
      <c r="G52" s="261"/>
      <c r="H52" s="261"/>
      <c r="I52" s="242"/>
      <c r="J52" s="242"/>
      <c r="K52" s="242"/>
      <c r="L52" s="245">
        <v>71.1</v>
      </c>
      <c r="Q52" s="385"/>
    </row>
    <row r="53" spans="1:17" ht="26.25" customHeight="1" hidden="1">
      <c r="A53" s="274" t="s">
        <v>85</v>
      </c>
      <c r="B53" s="277" t="s">
        <v>30</v>
      </c>
      <c r="C53" s="240"/>
      <c r="D53" s="240"/>
      <c r="E53" s="259"/>
      <c r="F53" s="260"/>
      <c r="G53" s="261"/>
      <c r="H53" s="261"/>
      <c r="I53" s="242"/>
      <c r="J53" s="242"/>
      <c r="K53" s="242"/>
      <c r="L53" s="284">
        <f>L54</f>
        <v>0</v>
      </c>
      <c r="Q53" s="385"/>
    </row>
    <row r="54" spans="1:17" ht="26.25" customHeight="1" hidden="1">
      <c r="A54" s="375" t="s">
        <v>438</v>
      </c>
      <c r="B54" s="277" t="s">
        <v>439</v>
      </c>
      <c r="C54" s="277" t="s">
        <v>442</v>
      </c>
      <c r="D54" s="240"/>
      <c r="E54" s="259"/>
      <c r="F54" s="260"/>
      <c r="G54" s="261"/>
      <c r="H54" s="261"/>
      <c r="I54" s="242"/>
      <c r="J54" s="242"/>
      <c r="K54" s="242"/>
      <c r="L54" s="284">
        <f>L55</f>
        <v>0</v>
      </c>
      <c r="Q54" s="385"/>
    </row>
    <row r="55" spans="1:17" ht="26.25" customHeight="1" hidden="1">
      <c r="A55" s="380" t="s">
        <v>440</v>
      </c>
      <c r="B55" s="246" t="s">
        <v>439</v>
      </c>
      <c r="C55" s="246" t="s">
        <v>442</v>
      </c>
      <c r="D55" s="240" t="s">
        <v>308</v>
      </c>
      <c r="E55" s="259"/>
      <c r="F55" s="260"/>
      <c r="G55" s="261"/>
      <c r="H55" s="261"/>
      <c r="I55" s="242"/>
      <c r="J55" s="242"/>
      <c r="K55" s="242"/>
      <c r="L55" s="245">
        <f>L56</f>
        <v>0</v>
      </c>
      <c r="Q55" s="385"/>
    </row>
    <row r="56" spans="1:17" ht="26.25" customHeight="1" hidden="1">
      <c r="A56" s="380" t="s">
        <v>441</v>
      </c>
      <c r="B56" s="246" t="s">
        <v>439</v>
      </c>
      <c r="C56" s="246" t="s">
        <v>442</v>
      </c>
      <c r="D56" s="240" t="s">
        <v>242</v>
      </c>
      <c r="E56" s="259"/>
      <c r="F56" s="260"/>
      <c r="G56" s="261"/>
      <c r="H56" s="261"/>
      <c r="I56" s="242"/>
      <c r="J56" s="242"/>
      <c r="K56" s="242"/>
      <c r="L56" s="245">
        <f>'[3]Вед. 2020 (прил 4)'!N34</f>
        <v>0</v>
      </c>
      <c r="Q56" s="385"/>
    </row>
    <row r="57" spans="1:17" ht="26.25" customHeight="1">
      <c r="A57" s="375" t="s">
        <v>450</v>
      </c>
      <c r="B57" s="287" t="s">
        <v>439</v>
      </c>
      <c r="C57" s="287" t="s">
        <v>451</v>
      </c>
      <c r="D57" s="277"/>
      <c r="E57" s="311"/>
      <c r="F57" s="312"/>
      <c r="G57" s="313"/>
      <c r="H57" s="313"/>
      <c r="I57" s="283"/>
      <c r="J57" s="283"/>
      <c r="K57" s="283"/>
      <c r="L57" s="284">
        <f>L58+L59</f>
        <v>3339.1</v>
      </c>
      <c r="Q57" s="385"/>
    </row>
    <row r="58" spans="1:17" ht="26.25" customHeight="1">
      <c r="A58" s="382" t="s">
        <v>497</v>
      </c>
      <c r="B58" s="240" t="s">
        <v>439</v>
      </c>
      <c r="C58" s="240" t="s">
        <v>498</v>
      </c>
      <c r="D58" s="240" t="s">
        <v>303</v>
      </c>
      <c r="E58" s="311"/>
      <c r="F58" s="312"/>
      <c r="G58" s="313"/>
      <c r="H58" s="313"/>
      <c r="I58" s="283"/>
      <c r="J58" s="283"/>
      <c r="K58" s="283"/>
      <c r="L58" s="284">
        <v>1022</v>
      </c>
      <c r="Q58" s="385"/>
    </row>
    <row r="59" spans="1:17" ht="26.25" customHeight="1">
      <c r="A59" s="382" t="s">
        <v>499</v>
      </c>
      <c r="B59" s="240" t="s">
        <v>439</v>
      </c>
      <c r="C59" s="240" t="s">
        <v>498</v>
      </c>
      <c r="D59" s="240" t="s">
        <v>242</v>
      </c>
      <c r="E59" s="311"/>
      <c r="F59" s="312"/>
      <c r="G59" s="313"/>
      <c r="H59" s="313"/>
      <c r="I59" s="283"/>
      <c r="J59" s="283"/>
      <c r="K59" s="283"/>
      <c r="L59" s="284">
        <v>2317.1</v>
      </c>
      <c r="Q59" s="385"/>
    </row>
    <row r="60" spans="1:17" ht="23.25" customHeight="1">
      <c r="A60" s="375" t="s">
        <v>286</v>
      </c>
      <c r="B60" s="277" t="s">
        <v>177</v>
      </c>
      <c r="C60" s="277"/>
      <c r="D60" s="277"/>
      <c r="E60" s="240"/>
      <c r="F60" s="241">
        <f>F61</f>
        <v>80</v>
      </c>
      <c r="G60" s="241">
        <f aca="true" t="shared" si="4" ref="G60:L60">G61</f>
        <v>69.9</v>
      </c>
      <c r="H60" s="241">
        <f t="shared" si="4"/>
        <v>80</v>
      </c>
      <c r="I60" s="292">
        <f t="shared" si="4"/>
        <v>50</v>
      </c>
      <c r="J60" s="292">
        <f t="shared" si="4"/>
        <v>0</v>
      </c>
      <c r="K60" s="292">
        <f t="shared" si="4"/>
        <v>0</v>
      </c>
      <c r="L60" s="284">
        <f t="shared" si="4"/>
        <v>20</v>
      </c>
      <c r="Q60" s="385"/>
    </row>
    <row r="61" spans="1:17" ht="20.25" customHeight="1">
      <c r="A61" s="281" t="s">
        <v>166</v>
      </c>
      <c r="B61" s="287" t="s">
        <v>177</v>
      </c>
      <c r="C61" s="287" t="s">
        <v>366</v>
      </c>
      <c r="D61" s="287"/>
      <c r="E61" s="277"/>
      <c r="F61" s="278">
        <v>80</v>
      </c>
      <c r="G61" s="278">
        <v>69.9</v>
      </c>
      <c r="H61" s="278">
        <v>80</v>
      </c>
      <c r="I61" s="290">
        <f>I63</f>
        <v>50</v>
      </c>
      <c r="J61" s="290">
        <f>J63</f>
        <v>0</v>
      </c>
      <c r="K61" s="290">
        <f>K63</f>
        <v>0</v>
      </c>
      <c r="L61" s="291">
        <f>L63</f>
        <v>20</v>
      </c>
      <c r="Q61" s="385"/>
    </row>
    <row r="62" spans="1:17" ht="18" customHeight="1">
      <c r="A62" s="381" t="s">
        <v>311</v>
      </c>
      <c r="B62" s="246" t="s">
        <v>177</v>
      </c>
      <c r="C62" s="246" t="s">
        <v>366</v>
      </c>
      <c r="D62" s="246" t="s">
        <v>310</v>
      </c>
      <c r="E62" s="277"/>
      <c r="F62" s="288">
        <f aca="true" t="shared" si="5" ref="F62:H63">F63</f>
        <v>100</v>
      </c>
      <c r="G62" s="288">
        <f t="shared" si="5"/>
        <v>0</v>
      </c>
      <c r="H62" s="288">
        <f t="shared" si="5"/>
        <v>100</v>
      </c>
      <c r="I62" s="242">
        <v>50</v>
      </c>
      <c r="J62" s="288"/>
      <c r="K62" s="288">
        <v>0</v>
      </c>
      <c r="L62" s="245">
        <f>L63</f>
        <v>20</v>
      </c>
      <c r="Q62" s="385"/>
    </row>
    <row r="63" spans="1:17" ht="21.75" customHeight="1">
      <c r="A63" s="238" t="s">
        <v>243</v>
      </c>
      <c r="B63" s="246" t="s">
        <v>177</v>
      </c>
      <c r="C63" s="246" t="s">
        <v>366</v>
      </c>
      <c r="D63" s="246" t="s">
        <v>244</v>
      </c>
      <c r="E63" s="277"/>
      <c r="F63" s="288">
        <f t="shared" si="5"/>
        <v>100</v>
      </c>
      <c r="G63" s="288">
        <f t="shared" si="5"/>
        <v>0</v>
      </c>
      <c r="H63" s="288">
        <f t="shared" si="5"/>
        <v>100</v>
      </c>
      <c r="I63" s="242">
        <v>50</v>
      </c>
      <c r="J63" s="288"/>
      <c r="K63" s="288">
        <v>0</v>
      </c>
      <c r="L63" s="245">
        <f>'[3]Вед. 2020 (прил 4)'!N64</f>
        <v>20</v>
      </c>
      <c r="Q63" s="385"/>
    </row>
    <row r="64" spans="1:17" ht="17.25" customHeight="1">
      <c r="A64" s="375" t="s">
        <v>46</v>
      </c>
      <c r="B64" s="277" t="s">
        <v>178</v>
      </c>
      <c r="C64" s="277"/>
      <c r="D64" s="277"/>
      <c r="E64" s="240"/>
      <c r="F64" s="241">
        <v>100</v>
      </c>
      <c r="G64" s="241"/>
      <c r="H64" s="241">
        <v>100</v>
      </c>
      <c r="I64" s="292" t="e">
        <f>#REF!+I65+I74+I26+I86+I83</f>
        <v>#REF!</v>
      </c>
      <c r="J64" s="292" t="e">
        <f>#REF!+J65+J74+J26+J86+J83</f>
        <v>#REF!</v>
      </c>
      <c r="K64" s="292" t="e">
        <f>#REF!+K65+K74+K26+K86+K83</f>
        <v>#REF!</v>
      </c>
      <c r="L64" s="284">
        <f>L71+L74+L77+L83+L86+L89+L92+50</f>
        <v>2417.8</v>
      </c>
      <c r="Q64" s="385"/>
    </row>
    <row r="65" spans="1:17" ht="45" customHeight="1" hidden="1">
      <c r="A65" s="375" t="s">
        <v>167</v>
      </c>
      <c r="B65" s="277" t="s">
        <v>178</v>
      </c>
      <c r="C65" s="277" t="s">
        <v>370</v>
      </c>
      <c r="D65" s="277"/>
      <c r="E65" s="277"/>
      <c r="F65" s="288">
        <f>F67</f>
        <v>60</v>
      </c>
      <c r="G65" s="288">
        <f aca="true" t="shared" si="6" ref="G65:L65">G67</f>
        <v>15</v>
      </c>
      <c r="H65" s="288">
        <f t="shared" si="6"/>
        <v>60</v>
      </c>
      <c r="I65" s="283">
        <f t="shared" si="6"/>
        <v>100</v>
      </c>
      <c r="J65" s="283">
        <f t="shared" si="6"/>
        <v>45</v>
      </c>
      <c r="K65" s="283">
        <f t="shared" si="6"/>
        <v>100</v>
      </c>
      <c r="L65" s="284">
        <f t="shared" si="6"/>
        <v>0</v>
      </c>
      <c r="Q65" s="385"/>
    </row>
    <row r="66" spans="1:17" ht="24.75" customHeight="1" hidden="1">
      <c r="A66" s="360" t="s">
        <v>309</v>
      </c>
      <c r="B66" s="240" t="s">
        <v>178</v>
      </c>
      <c r="C66" s="240" t="s">
        <v>370</v>
      </c>
      <c r="D66" s="240" t="s">
        <v>308</v>
      </c>
      <c r="E66" s="240"/>
      <c r="F66" s="240" t="e">
        <f>'[2]роспись'!H47</f>
        <v>#REF!</v>
      </c>
      <c r="G66" s="241">
        <v>15</v>
      </c>
      <c r="H66" s="241">
        <v>60</v>
      </c>
      <c r="I66" s="242">
        <v>100</v>
      </c>
      <c r="J66" s="293">
        <v>45</v>
      </c>
      <c r="K66" s="294">
        <v>100</v>
      </c>
      <c r="L66" s="245">
        <f>L67</f>
        <v>0</v>
      </c>
      <c r="Q66" s="385"/>
    </row>
    <row r="67" spans="1:17" ht="26.25" customHeight="1" hidden="1">
      <c r="A67" s="238" t="s">
        <v>287</v>
      </c>
      <c r="B67" s="240" t="s">
        <v>178</v>
      </c>
      <c r="C67" s="240" t="s">
        <v>370</v>
      </c>
      <c r="D67" s="240" t="s">
        <v>242</v>
      </c>
      <c r="E67" s="240"/>
      <c r="F67" s="240">
        <f>'[2]роспись'!H48</f>
        <v>60</v>
      </c>
      <c r="G67" s="241">
        <v>15</v>
      </c>
      <c r="H67" s="241">
        <v>60</v>
      </c>
      <c r="I67" s="242">
        <v>100</v>
      </c>
      <c r="J67" s="293">
        <v>45</v>
      </c>
      <c r="K67" s="294">
        <v>100</v>
      </c>
      <c r="L67" s="245">
        <f>'[3]Вед. 2020 (прил 4)'!N68</f>
        <v>0</v>
      </c>
      <c r="Q67" s="385"/>
    </row>
    <row r="68" spans="1:17" ht="33" customHeight="1">
      <c r="A68" s="281" t="s">
        <v>167</v>
      </c>
      <c r="B68" s="277" t="s">
        <v>178</v>
      </c>
      <c r="C68" s="277" t="s">
        <v>370</v>
      </c>
      <c r="D68" s="240"/>
      <c r="E68" s="240"/>
      <c r="F68" s="240"/>
      <c r="G68" s="241"/>
      <c r="H68" s="241"/>
      <c r="I68" s="242"/>
      <c r="J68" s="554"/>
      <c r="K68" s="294"/>
      <c r="L68" s="245" t="str">
        <f>L70</f>
        <v>50</v>
      </c>
      <c r="Q68" s="385"/>
    </row>
    <row r="69" spans="1:17" ht="33" customHeight="1">
      <c r="A69" s="238" t="s">
        <v>550</v>
      </c>
      <c r="B69" s="240" t="s">
        <v>178</v>
      </c>
      <c r="C69" s="240" t="s">
        <v>370</v>
      </c>
      <c r="D69" s="240" t="s">
        <v>308</v>
      </c>
      <c r="E69" s="238" t="s">
        <v>550</v>
      </c>
      <c r="F69" s="240" t="s">
        <v>178</v>
      </c>
      <c r="G69" s="240" t="s">
        <v>370</v>
      </c>
      <c r="H69" s="240" t="s">
        <v>308</v>
      </c>
      <c r="I69" s="238" t="s">
        <v>550</v>
      </c>
      <c r="J69" s="240" t="s">
        <v>178</v>
      </c>
      <c r="K69" s="240" t="s">
        <v>370</v>
      </c>
      <c r="L69" s="240" t="s">
        <v>10</v>
      </c>
      <c r="Q69" s="385"/>
    </row>
    <row r="70" spans="1:17" ht="33" customHeight="1">
      <c r="A70" s="238" t="s">
        <v>551</v>
      </c>
      <c r="B70" s="240" t="s">
        <v>178</v>
      </c>
      <c r="C70" s="240" t="s">
        <v>370</v>
      </c>
      <c r="D70" s="240" t="s">
        <v>242</v>
      </c>
      <c r="E70" s="555"/>
      <c r="F70" s="240"/>
      <c r="G70" s="240"/>
      <c r="H70" s="240"/>
      <c r="I70" s="556"/>
      <c r="J70" s="557"/>
      <c r="K70" s="557"/>
      <c r="L70" s="240" t="s">
        <v>10</v>
      </c>
      <c r="Q70" s="385"/>
    </row>
    <row r="71" spans="1:17" ht="22.5" customHeight="1">
      <c r="A71" s="375" t="s">
        <v>342</v>
      </c>
      <c r="B71" s="277" t="s">
        <v>178</v>
      </c>
      <c r="C71" s="277" t="s">
        <v>371</v>
      </c>
      <c r="D71" s="277"/>
      <c r="E71" s="277"/>
      <c r="F71" s="278" t="e">
        <f>F73</f>
        <v>#REF!</v>
      </c>
      <c r="G71" s="278" t="e">
        <f aca="true" t="shared" si="7" ref="G71:L71">G73</f>
        <v>#REF!</v>
      </c>
      <c r="H71" s="278" t="e">
        <f t="shared" si="7"/>
        <v>#REF!</v>
      </c>
      <c r="I71" s="283">
        <f t="shared" si="7"/>
        <v>400</v>
      </c>
      <c r="J71" s="283">
        <f t="shared" si="7"/>
        <v>323.9</v>
      </c>
      <c r="K71" s="283">
        <f t="shared" si="7"/>
        <v>400</v>
      </c>
      <c r="L71" s="284">
        <f t="shared" si="7"/>
        <v>789.8</v>
      </c>
      <c r="Q71" s="385"/>
    </row>
    <row r="72" spans="1:17" ht="27" customHeight="1">
      <c r="A72" s="360" t="s">
        <v>309</v>
      </c>
      <c r="B72" s="240" t="s">
        <v>178</v>
      </c>
      <c r="C72" s="240" t="s">
        <v>371</v>
      </c>
      <c r="D72" s="240" t="s">
        <v>308</v>
      </c>
      <c r="E72" s="240"/>
      <c r="F72" s="241" t="e">
        <f>#REF!+F73</f>
        <v>#REF!</v>
      </c>
      <c r="G72" s="241" t="e">
        <f>#REF!+G73</f>
        <v>#REF!</v>
      </c>
      <c r="H72" s="241" t="e">
        <f>#REF!+H73</f>
        <v>#REF!</v>
      </c>
      <c r="I72" s="242">
        <v>400</v>
      </c>
      <c r="J72" s="241">
        <v>323.9</v>
      </c>
      <c r="K72" s="241">
        <v>400</v>
      </c>
      <c r="L72" s="245">
        <f>L73</f>
        <v>789.8</v>
      </c>
      <c r="Q72" s="385"/>
    </row>
    <row r="73" spans="1:18" ht="36">
      <c r="A73" s="238" t="s">
        <v>287</v>
      </c>
      <c r="B73" s="240" t="s">
        <v>178</v>
      </c>
      <c r="C73" s="240" t="s">
        <v>371</v>
      </c>
      <c r="D73" s="240" t="s">
        <v>242</v>
      </c>
      <c r="E73" s="240"/>
      <c r="F73" s="241" t="e">
        <f>#REF!+F86</f>
        <v>#REF!</v>
      </c>
      <c r="G73" s="241" t="e">
        <f>#REF!+G86</f>
        <v>#REF!</v>
      </c>
      <c r="H73" s="241" t="e">
        <f>#REF!+H86</f>
        <v>#REF!</v>
      </c>
      <c r="I73" s="242">
        <v>400</v>
      </c>
      <c r="J73" s="241">
        <v>323.9</v>
      </c>
      <c r="K73" s="241">
        <v>400</v>
      </c>
      <c r="L73" s="245">
        <v>789.8</v>
      </c>
      <c r="Q73" s="385"/>
      <c r="R73" s="267"/>
    </row>
    <row r="74" spans="1:17" ht="50.25" customHeight="1">
      <c r="A74" s="375" t="s">
        <v>341</v>
      </c>
      <c r="B74" s="277" t="s">
        <v>178</v>
      </c>
      <c r="C74" s="277" t="s">
        <v>377</v>
      </c>
      <c r="D74" s="277"/>
      <c r="E74" s="277"/>
      <c r="F74" s="278" t="e">
        <f>F76</f>
        <v>#REF!</v>
      </c>
      <c r="G74" s="278" t="e">
        <f aca="true" t="shared" si="8" ref="G74:L74">G76</f>
        <v>#REF!</v>
      </c>
      <c r="H74" s="278" t="e">
        <f t="shared" si="8"/>
        <v>#REF!</v>
      </c>
      <c r="I74" s="283">
        <f t="shared" si="8"/>
        <v>400</v>
      </c>
      <c r="J74" s="283">
        <f t="shared" si="8"/>
        <v>323.9</v>
      </c>
      <c r="K74" s="283">
        <f t="shared" si="8"/>
        <v>400</v>
      </c>
      <c r="L74" s="284">
        <f t="shared" si="8"/>
        <v>1200</v>
      </c>
      <c r="Q74" s="385"/>
    </row>
    <row r="75" spans="1:17" ht="27" customHeight="1">
      <c r="A75" s="360" t="s">
        <v>309</v>
      </c>
      <c r="B75" s="240" t="s">
        <v>178</v>
      </c>
      <c r="C75" s="240" t="s">
        <v>377</v>
      </c>
      <c r="D75" s="240" t="s">
        <v>308</v>
      </c>
      <c r="E75" s="240"/>
      <c r="F75" s="241" t="e">
        <f>#REF!+F76</f>
        <v>#REF!</v>
      </c>
      <c r="G75" s="241" t="e">
        <f>#REF!+G76</f>
        <v>#REF!</v>
      </c>
      <c r="H75" s="241" t="e">
        <f>#REF!+H76</f>
        <v>#REF!</v>
      </c>
      <c r="I75" s="242">
        <v>400</v>
      </c>
      <c r="J75" s="241">
        <v>323.9</v>
      </c>
      <c r="K75" s="241">
        <v>400</v>
      </c>
      <c r="L75" s="245">
        <f>L76</f>
        <v>1200</v>
      </c>
      <c r="Q75" s="385"/>
    </row>
    <row r="76" spans="1:17" ht="30.75" customHeight="1">
      <c r="A76" s="238" t="s">
        <v>287</v>
      </c>
      <c r="B76" s="240" t="s">
        <v>178</v>
      </c>
      <c r="C76" s="240" t="s">
        <v>377</v>
      </c>
      <c r="D76" s="240" t="s">
        <v>242</v>
      </c>
      <c r="E76" s="240"/>
      <c r="F76" s="241" t="e">
        <f>#REF!+F26</f>
        <v>#REF!</v>
      </c>
      <c r="G76" s="241" t="e">
        <f>#REF!+G26</f>
        <v>#REF!</v>
      </c>
      <c r="H76" s="241" t="e">
        <f>#REF!+H26</f>
        <v>#REF!</v>
      </c>
      <c r="I76" s="242">
        <v>400</v>
      </c>
      <c r="J76" s="241">
        <v>323.9</v>
      </c>
      <c r="K76" s="241">
        <v>400</v>
      </c>
      <c r="L76" s="245">
        <v>1200</v>
      </c>
      <c r="Q76" s="385"/>
    </row>
    <row r="77" spans="1:17" ht="48">
      <c r="A77" s="375" t="s">
        <v>360</v>
      </c>
      <c r="B77" s="277" t="s">
        <v>178</v>
      </c>
      <c r="C77" s="277" t="s">
        <v>372</v>
      </c>
      <c r="D77" s="277"/>
      <c r="E77" s="240"/>
      <c r="F77" s="241">
        <f>F79</f>
        <v>70</v>
      </c>
      <c r="G77" s="241">
        <f aca="true" t="shared" si="9" ref="G77:L77">G79</f>
        <v>0</v>
      </c>
      <c r="H77" s="241">
        <f t="shared" si="9"/>
        <v>20</v>
      </c>
      <c r="I77" s="283">
        <f t="shared" si="9"/>
        <v>60</v>
      </c>
      <c r="J77" s="283">
        <f t="shared" si="9"/>
        <v>30</v>
      </c>
      <c r="K77" s="283">
        <f t="shared" si="9"/>
        <v>60</v>
      </c>
      <c r="L77" s="284">
        <f t="shared" si="9"/>
        <v>20</v>
      </c>
      <c r="Q77" s="385"/>
    </row>
    <row r="78" spans="1:17" ht="30.75" customHeight="1">
      <c r="A78" s="360" t="s">
        <v>309</v>
      </c>
      <c r="B78" s="240" t="s">
        <v>178</v>
      </c>
      <c r="C78" s="240" t="s">
        <v>372</v>
      </c>
      <c r="D78" s="240" t="s">
        <v>308</v>
      </c>
      <c r="E78" s="240"/>
      <c r="F78" s="241">
        <v>70</v>
      </c>
      <c r="G78" s="241"/>
      <c r="H78" s="241">
        <v>20</v>
      </c>
      <c r="I78" s="242">
        <v>60</v>
      </c>
      <c r="J78" s="249">
        <v>30</v>
      </c>
      <c r="K78" s="250">
        <v>60</v>
      </c>
      <c r="L78" s="245">
        <f>L79</f>
        <v>20</v>
      </c>
      <c r="Q78" s="385"/>
    </row>
    <row r="79" spans="1:17" ht="30" customHeight="1">
      <c r="A79" s="238" t="s">
        <v>287</v>
      </c>
      <c r="B79" s="240" t="s">
        <v>178</v>
      </c>
      <c r="C79" s="240" t="s">
        <v>372</v>
      </c>
      <c r="D79" s="240" t="s">
        <v>242</v>
      </c>
      <c r="E79" s="240"/>
      <c r="F79" s="241">
        <v>70</v>
      </c>
      <c r="G79" s="241"/>
      <c r="H79" s="241">
        <v>20</v>
      </c>
      <c r="I79" s="242">
        <v>60</v>
      </c>
      <c r="J79" s="249">
        <v>30</v>
      </c>
      <c r="K79" s="250">
        <v>60</v>
      </c>
      <c r="L79" s="245">
        <v>20</v>
      </c>
      <c r="Q79" s="385"/>
    </row>
    <row r="80" spans="1:17" ht="30" customHeight="1" hidden="1">
      <c r="A80" s="281" t="s">
        <v>421</v>
      </c>
      <c r="B80" s="277" t="s">
        <v>178</v>
      </c>
      <c r="C80" s="277" t="s">
        <v>422</v>
      </c>
      <c r="D80" s="337"/>
      <c r="E80" s="277"/>
      <c r="F80" s="241"/>
      <c r="G80" s="241"/>
      <c r="H80" s="241"/>
      <c r="I80" s="242"/>
      <c r="J80" s="336"/>
      <c r="K80" s="250"/>
      <c r="L80" s="284">
        <f>L81</f>
        <v>0</v>
      </c>
      <c r="Q80" s="385"/>
    </row>
    <row r="81" spans="1:17" ht="30" customHeight="1" hidden="1">
      <c r="A81" s="360" t="s">
        <v>309</v>
      </c>
      <c r="B81" s="240" t="s">
        <v>178</v>
      </c>
      <c r="C81" s="240" t="s">
        <v>422</v>
      </c>
      <c r="D81" s="338">
        <v>200</v>
      </c>
      <c r="E81" s="240" t="s">
        <v>308</v>
      </c>
      <c r="F81" s="241"/>
      <c r="G81" s="241"/>
      <c r="H81" s="241"/>
      <c r="I81" s="242"/>
      <c r="J81" s="336"/>
      <c r="K81" s="250"/>
      <c r="L81" s="245">
        <f>L82</f>
        <v>0</v>
      </c>
      <c r="Q81" s="385"/>
    </row>
    <row r="82" spans="1:17" ht="30" customHeight="1" hidden="1">
      <c r="A82" s="238" t="s">
        <v>287</v>
      </c>
      <c r="B82" s="240" t="s">
        <v>178</v>
      </c>
      <c r="C82" s="240" t="s">
        <v>422</v>
      </c>
      <c r="D82" s="338">
        <v>240</v>
      </c>
      <c r="E82" s="240" t="s">
        <v>242</v>
      </c>
      <c r="F82" s="241"/>
      <c r="G82" s="241"/>
      <c r="H82" s="241"/>
      <c r="I82" s="242"/>
      <c r="J82" s="336"/>
      <c r="K82" s="250"/>
      <c r="L82" s="245">
        <f>'[3]Вед. 2020 (прил 4)'!N80</f>
        <v>0</v>
      </c>
      <c r="Q82" s="385"/>
    </row>
    <row r="83" spans="1:17" ht="24">
      <c r="A83" s="375" t="s">
        <v>417</v>
      </c>
      <c r="B83" s="277" t="s">
        <v>178</v>
      </c>
      <c r="C83" s="277" t="s">
        <v>375</v>
      </c>
      <c r="D83" s="277"/>
      <c r="E83" s="240"/>
      <c r="F83" s="241"/>
      <c r="G83" s="241"/>
      <c r="H83" s="241"/>
      <c r="I83" s="295">
        <f>I85</f>
        <v>170</v>
      </c>
      <c r="J83" s="295">
        <f>J85</f>
        <v>150</v>
      </c>
      <c r="K83" s="295">
        <f>K85</f>
        <v>170</v>
      </c>
      <c r="L83" s="296">
        <f>L85</f>
        <v>12</v>
      </c>
      <c r="Q83" s="385"/>
    </row>
    <row r="84" spans="1:17" ht="30.75" customHeight="1">
      <c r="A84" s="360" t="s">
        <v>309</v>
      </c>
      <c r="B84" s="253" t="s">
        <v>178</v>
      </c>
      <c r="C84" s="240" t="s">
        <v>375</v>
      </c>
      <c r="D84" s="253" t="s">
        <v>308</v>
      </c>
      <c r="E84" s="240"/>
      <c r="F84" s="241"/>
      <c r="G84" s="241"/>
      <c r="H84" s="241"/>
      <c r="I84" s="257">
        <v>170</v>
      </c>
      <c r="J84" s="241">
        <v>150</v>
      </c>
      <c r="K84" s="241">
        <v>170</v>
      </c>
      <c r="L84" s="245">
        <f>L85</f>
        <v>12</v>
      </c>
      <c r="Q84" s="385"/>
    </row>
    <row r="85" spans="1:17" ht="31.5" customHeight="1">
      <c r="A85" s="238" t="s">
        <v>287</v>
      </c>
      <c r="B85" s="253" t="s">
        <v>178</v>
      </c>
      <c r="C85" s="240" t="s">
        <v>375</v>
      </c>
      <c r="D85" s="253" t="s">
        <v>242</v>
      </c>
      <c r="E85" s="240"/>
      <c r="F85" s="241"/>
      <c r="G85" s="241"/>
      <c r="H85" s="241"/>
      <c r="I85" s="257">
        <v>170</v>
      </c>
      <c r="J85" s="241">
        <v>150</v>
      </c>
      <c r="K85" s="241">
        <v>170</v>
      </c>
      <c r="L85" s="245">
        <f>'[3]Вед. 2020 (прил 4)'!N83</f>
        <v>12</v>
      </c>
      <c r="Q85" s="385"/>
    </row>
    <row r="86" spans="1:17" ht="51" customHeight="1">
      <c r="A86" s="375" t="s">
        <v>364</v>
      </c>
      <c r="B86" s="277" t="s">
        <v>178</v>
      </c>
      <c r="C86" s="277" t="s">
        <v>373</v>
      </c>
      <c r="D86" s="277"/>
      <c r="E86" s="277"/>
      <c r="F86" s="278" t="e">
        <f>F88+F96+#REF!+F97</f>
        <v>#REF!</v>
      </c>
      <c r="G86" s="278" t="e">
        <f>G88+G96+#REF!+G97</f>
        <v>#REF!</v>
      </c>
      <c r="H86" s="278" t="e">
        <f>H88+H96+#REF!+H97</f>
        <v>#REF!</v>
      </c>
      <c r="I86" s="283">
        <f>I88</f>
        <v>92</v>
      </c>
      <c r="J86" s="283">
        <f>J88</f>
        <v>48.2</v>
      </c>
      <c r="K86" s="283">
        <f>K88</f>
        <v>92</v>
      </c>
      <c r="L86" s="284">
        <f>L88</f>
        <v>128</v>
      </c>
      <c r="Q86" s="385"/>
    </row>
    <row r="87" spans="1:17" ht="35.25" customHeight="1">
      <c r="A87" s="360" t="s">
        <v>309</v>
      </c>
      <c r="B87" s="240" t="s">
        <v>178</v>
      </c>
      <c r="C87" s="240" t="s">
        <v>373</v>
      </c>
      <c r="D87" s="240" t="s">
        <v>308</v>
      </c>
      <c r="E87" s="240"/>
      <c r="F87" s="241"/>
      <c r="G87" s="241"/>
      <c r="H87" s="241"/>
      <c r="I87" s="242">
        <v>92</v>
      </c>
      <c r="J87" s="241">
        <v>48.2</v>
      </c>
      <c r="K87" s="241">
        <v>92</v>
      </c>
      <c r="L87" s="245">
        <f>L88</f>
        <v>128</v>
      </c>
      <c r="Q87" s="385"/>
    </row>
    <row r="88" spans="1:17" ht="27.75" customHeight="1">
      <c r="A88" s="238" t="s">
        <v>287</v>
      </c>
      <c r="B88" s="240" t="s">
        <v>178</v>
      </c>
      <c r="C88" s="240" t="s">
        <v>373</v>
      </c>
      <c r="D88" s="240" t="s">
        <v>242</v>
      </c>
      <c r="E88" s="240"/>
      <c r="F88" s="241"/>
      <c r="G88" s="241"/>
      <c r="H88" s="241"/>
      <c r="I88" s="242">
        <v>92</v>
      </c>
      <c r="J88" s="241">
        <v>48.2</v>
      </c>
      <c r="K88" s="241">
        <v>92</v>
      </c>
      <c r="L88" s="245">
        <v>128</v>
      </c>
      <c r="Q88" s="385"/>
    </row>
    <row r="89" spans="1:17" ht="60">
      <c r="A89" s="375" t="s">
        <v>343</v>
      </c>
      <c r="B89" s="277" t="s">
        <v>178</v>
      </c>
      <c r="C89" s="277" t="s">
        <v>376</v>
      </c>
      <c r="D89" s="277"/>
      <c r="E89" s="277"/>
      <c r="F89" s="278" t="e">
        <f>F91+F100+#REF!+#REF!</f>
        <v>#REF!</v>
      </c>
      <c r="G89" s="278" t="e">
        <f>G91+G100+#REF!+#REF!</f>
        <v>#REF!</v>
      </c>
      <c r="H89" s="278" t="e">
        <f>H91+H100+#REF!+#REF!</f>
        <v>#REF!</v>
      </c>
      <c r="I89" s="283">
        <f>I91</f>
        <v>92</v>
      </c>
      <c r="J89" s="283">
        <f>J91</f>
        <v>48.2</v>
      </c>
      <c r="K89" s="283">
        <f>K91</f>
        <v>92</v>
      </c>
      <c r="L89" s="284">
        <f>L91</f>
        <v>6</v>
      </c>
      <c r="Q89" s="385"/>
    </row>
    <row r="90" spans="1:17" ht="26.25" customHeight="1">
      <c r="A90" s="360" t="s">
        <v>309</v>
      </c>
      <c r="B90" s="240" t="s">
        <v>178</v>
      </c>
      <c r="C90" s="240" t="s">
        <v>376</v>
      </c>
      <c r="D90" s="240" t="s">
        <v>308</v>
      </c>
      <c r="E90" s="240"/>
      <c r="F90" s="241"/>
      <c r="G90" s="241"/>
      <c r="H90" s="241"/>
      <c r="I90" s="242">
        <v>92</v>
      </c>
      <c r="J90" s="241">
        <v>48.2</v>
      </c>
      <c r="K90" s="241">
        <v>92</v>
      </c>
      <c r="L90" s="245">
        <f>L91</f>
        <v>6</v>
      </c>
      <c r="Q90" s="385"/>
    </row>
    <row r="91" spans="1:17" ht="27.75" customHeight="1">
      <c r="A91" s="238" t="s">
        <v>287</v>
      </c>
      <c r="B91" s="240" t="s">
        <v>178</v>
      </c>
      <c r="C91" s="240" t="s">
        <v>376</v>
      </c>
      <c r="D91" s="240" t="s">
        <v>242</v>
      </c>
      <c r="E91" s="240"/>
      <c r="F91" s="241"/>
      <c r="G91" s="241"/>
      <c r="H91" s="241"/>
      <c r="I91" s="242">
        <v>92</v>
      </c>
      <c r="J91" s="241">
        <v>48.2</v>
      </c>
      <c r="K91" s="241">
        <v>92</v>
      </c>
      <c r="L91" s="245">
        <f>'[3]Вед. 2020 (прил 4)'!N89</f>
        <v>6</v>
      </c>
      <c r="Q91" s="385"/>
    </row>
    <row r="92" spans="1:17" ht="52.5" customHeight="1">
      <c r="A92" s="281" t="s">
        <v>416</v>
      </c>
      <c r="B92" s="277" t="s">
        <v>178</v>
      </c>
      <c r="C92" s="277" t="s">
        <v>418</v>
      </c>
      <c r="D92" s="277"/>
      <c r="E92" s="277" t="s">
        <v>242</v>
      </c>
      <c r="F92" s="241"/>
      <c r="G92" s="241"/>
      <c r="H92" s="241"/>
      <c r="I92" s="332"/>
      <c r="J92" s="333"/>
      <c r="K92" s="333"/>
      <c r="L92" s="284">
        <f>L93</f>
        <v>212</v>
      </c>
      <c r="Q92" s="385"/>
    </row>
    <row r="93" spans="1:17" ht="27.75" customHeight="1">
      <c r="A93" s="360" t="s">
        <v>309</v>
      </c>
      <c r="B93" s="240" t="s">
        <v>178</v>
      </c>
      <c r="C93" s="240" t="s">
        <v>376</v>
      </c>
      <c r="D93" s="240" t="s">
        <v>308</v>
      </c>
      <c r="E93" s="240" t="s">
        <v>308</v>
      </c>
      <c r="F93" s="241"/>
      <c r="G93" s="241"/>
      <c r="H93" s="241"/>
      <c r="I93" s="332"/>
      <c r="J93" s="333"/>
      <c r="K93" s="333"/>
      <c r="L93" s="245">
        <f>L94</f>
        <v>212</v>
      </c>
      <c r="Q93" s="385"/>
    </row>
    <row r="94" spans="1:17" ht="27.75" customHeight="1" thickBot="1">
      <c r="A94" s="365" t="s">
        <v>287</v>
      </c>
      <c r="B94" s="253" t="s">
        <v>178</v>
      </c>
      <c r="C94" s="253" t="s">
        <v>376</v>
      </c>
      <c r="D94" s="253" t="s">
        <v>242</v>
      </c>
      <c r="E94" s="253" t="s">
        <v>242</v>
      </c>
      <c r="F94" s="254"/>
      <c r="G94" s="254"/>
      <c r="H94" s="254"/>
      <c r="I94" s="332"/>
      <c r="J94" s="333"/>
      <c r="K94" s="333"/>
      <c r="L94" s="258">
        <v>212</v>
      </c>
      <c r="Q94" s="385"/>
    </row>
    <row r="95" spans="1:17" ht="24.75" thickBot="1">
      <c r="A95" s="400" t="s">
        <v>53</v>
      </c>
      <c r="B95" s="298" t="s">
        <v>47</v>
      </c>
      <c r="C95" s="298"/>
      <c r="D95" s="298"/>
      <c r="E95" s="298"/>
      <c r="F95" s="302" t="e">
        <f>F96+#REF!+F102+F114</f>
        <v>#REF!</v>
      </c>
      <c r="G95" s="302" t="e">
        <f>G96+#REF!+G102+G114</f>
        <v>#REF!</v>
      </c>
      <c r="H95" s="302" t="e">
        <f>H96+#REF!+H102+H114</f>
        <v>#REF!</v>
      </c>
      <c r="I95" s="302" t="e">
        <f>I96</f>
        <v>#REF!</v>
      </c>
      <c r="J95" s="302" t="e">
        <f>J96</f>
        <v>#REF!</v>
      </c>
      <c r="K95" s="302" t="e">
        <f>K96</f>
        <v>#REF!</v>
      </c>
      <c r="L95" s="300">
        <f>L96</f>
        <v>50</v>
      </c>
      <c r="Q95" s="385"/>
    </row>
    <row r="96" spans="1:17" ht="36">
      <c r="A96" s="398" t="s">
        <v>176</v>
      </c>
      <c r="B96" s="276" t="s">
        <v>37</v>
      </c>
      <c r="C96" s="276"/>
      <c r="D96" s="276"/>
      <c r="E96" s="276"/>
      <c r="F96" s="285" t="e">
        <f>#REF!</f>
        <v>#REF!</v>
      </c>
      <c r="G96" s="285" t="e">
        <f>#REF!</f>
        <v>#REF!</v>
      </c>
      <c r="H96" s="285" t="e">
        <f>#REF!</f>
        <v>#REF!</v>
      </c>
      <c r="I96" s="285" t="e">
        <f>#REF!+I97</f>
        <v>#REF!</v>
      </c>
      <c r="J96" s="285" t="e">
        <f>#REF!+J97</f>
        <v>#REF!</v>
      </c>
      <c r="K96" s="285" t="e">
        <f>#REF!+K97</f>
        <v>#REF!</v>
      </c>
      <c r="L96" s="280">
        <f>L97+L100</f>
        <v>50</v>
      </c>
      <c r="Q96" s="385"/>
    </row>
    <row r="97" spans="1:17" ht="89.25" customHeight="1" hidden="1">
      <c r="A97" s="375" t="s">
        <v>350</v>
      </c>
      <c r="B97" s="277" t="s">
        <v>37</v>
      </c>
      <c r="C97" s="277" t="s">
        <v>378</v>
      </c>
      <c r="D97" s="277"/>
      <c r="E97" s="277"/>
      <c r="F97" s="278">
        <f>'[2]роспись'!H63</f>
        <v>5320</v>
      </c>
      <c r="G97" s="278">
        <v>3277.5</v>
      </c>
      <c r="H97" s="278">
        <v>5320</v>
      </c>
      <c r="I97" s="278">
        <f>I102</f>
        <v>18</v>
      </c>
      <c r="J97" s="278">
        <f>J102</f>
        <v>0</v>
      </c>
      <c r="K97" s="278">
        <f>K102</f>
        <v>18</v>
      </c>
      <c r="L97" s="284">
        <f>L98</f>
        <v>0</v>
      </c>
      <c r="Q97" s="385"/>
    </row>
    <row r="98" spans="1:17" ht="32.25" customHeight="1" hidden="1">
      <c r="A98" s="360" t="s">
        <v>309</v>
      </c>
      <c r="B98" s="240" t="s">
        <v>37</v>
      </c>
      <c r="C98" s="240" t="s">
        <v>378</v>
      </c>
      <c r="D98" s="240" t="s">
        <v>308</v>
      </c>
      <c r="E98" s="240"/>
      <c r="F98" s="241">
        <f>F102</f>
        <v>668</v>
      </c>
      <c r="G98" s="241">
        <f>G102</f>
        <v>480</v>
      </c>
      <c r="H98" s="241">
        <f>H102</f>
        <v>668</v>
      </c>
      <c r="I98" s="241">
        <v>18</v>
      </c>
      <c r="J98" s="241">
        <v>0</v>
      </c>
      <c r="K98" s="241">
        <v>18</v>
      </c>
      <c r="L98" s="245">
        <f>L99</f>
        <v>0</v>
      </c>
      <c r="Q98" s="385"/>
    </row>
    <row r="99" spans="1:17" ht="34.5" customHeight="1" hidden="1">
      <c r="A99" s="238" t="s">
        <v>287</v>
      </c>
      <c r="B99" s="240" t="s">
        <v>37</v>
      </c>
      <c r="C99" s="240" t="s">
        <v>378</v>
      </c>
      <c r="D99" s="240" t="s">
        <v>242</v>
      </c>
      <c r="E99" s="240"/>
      <c r="F99" s="241">
        <f>F102</f>
        <v>668</v>
      </c>
      <c r="G99" s="241">
        <f>G102</f>
        <v>480</v>
      </c>
      <c r="H99" s="241">
        <f>H102</f>
        <v>668</v>
      </c>
      <c r="I99" s="241">
        <v>18</v>
      </c>
      <c r="J99" s="241">
        <v>0</v>
      </c>
      <c r="K99" s="241">
        <v>18</v>
      </c>
      <c r="L99" s="245">
        <f>'[3]Вед. 2020 (прил 4)'!N97</f>
        <v>0</v>
      </c>
      <c r="Q99" s="385"/>
    </row>
    <row r="100" spans="1:17" ht="60">
      <c r="A100" s="375" t="s">
        <v>351</v>
      </c>
      <c r="B100" s="277" t="s">
        <v>37</v>
      </c>
      <c r="C100" s="277" t="s">
        <v>379</v>
      </c>
      <c r="D100" s="277"/>
      <c r="E100" s="277"/>
      <c r="F100" s="278" t="e">
        <f>'[2]роспись'!H66</f>
        <v>#REF!</v>
      </c>
      <c r="G100" s="278">
        <v>3277.5</v>
      </c>
      <c r="H100" s="278">
        <v>5320</v>
      </c>
      <c r="I100" s="278" t="e">
        <f>I114</f>
        <v>#REF!</v>
      </c>
      <c r="J100" s="278" t="e">
        <f>J114</f>
        <v>#REF!</v>
      </c>
      <c r="K100" s="278" t="e">
        <f>K114</f>
        <v>#REF!</v>
      </c>
      <c r="L100" s="284">
        <f>L101</f>
        <v>50</v>
      </c>
      <c r="Q100" s="385"/>
    </row>
    <row r="101" spans="1:17" ht="33.75" customHeight="1">
      <c r="A101" s="360" t="s">
        <v>309</v>
      </c>
      <c r="B101" s="240" t="s">
        <v>37</v>
      </c>
      <c r="C101" s="240" t="s">
        <v>379</v>
      </c>
      <c r="D101" s="240" t="s">
        <v>308</v>
      </c>
      <c r="E101" s="240"/>
      <c r="F101" s="241" t="e">
        <f>#REF!</f>
        <v>#REF!</v>
      </c>
      <c r="G101" s="241" t="e">
        <f>#REF!</f>
        <v>#REF!</v>
      </c>
      <c r="H101" s="241" t="e">
        <f>#REF!</f>
        <v>#REF!</v>
      </c>
      <c r="I101" s="241">
        <v>18</v>
      </c>
      <c r="J101" s="241">
        <v>0</v>
      </c>
      <c r="K101" s="241">
        <v>18</v>
      </c>
      <c r="L101" s="245">
        <f>L102</f>
        <v>50</v>
      </c>
      <c r="Q101" s="385"/>
    </row>
    <row r="102" spans="1:17" ht="27.75" customHeight="1" thickBot="1">
      <c r="A102" s="361" t="s">
        <v>287</v>
      </c>
      <c r="B102" s="362" t="s">
        <v>37</v>
      </c>
      <c r="C102" s="362" t="s">
        <v>379</v>
      </c>
      <c r="D102" s="362" t="s">
        <v>242</v>
      </c>
      <c r="E102" s="362"/>
      <c r="F102" s="363">
        <f>F113</f>
        <v>668</v>
      </c>
      <c r="G102" s="363">
        <f>G113</f>
        <v>480</v>
      </c>
      <c r="H102" s="363">
        <f>H113</f>
        <v>668</v>
      </c>
      <c r="I102" s="363">
        <v>18</v>
      </c>
      <c r="J102" s="363">
        <v>0</v>
      </c>
      <c r="K102" s="363">
        <v>18</v>
      </c>
      <c r="L102" s="364">
        <v>50</v>
      </c>
      <c r="Q102" s="385"/>
    </row>
    <row r="103" spans="1:17" ht="21" customHeight="1" thickBot="1">
      <c r="A103" s="383" t="s">
        <v>290</v>
      </c>
      <c r="B103" s="329" t="s">
        <v>291</v>
      </c>
      <c r="C103" s="329"/>
      <c r="D103" s="329"/>
      <c r="E103" s="329"/>
      <c r="F103" s="384"/>
      <c r="G103" s="384"/>
      <c r="H103" s="384"/>
      <c r="I103" s="330"/>
      <c r="J103" s="368"/>
      <c r="K103" s="368"/>
      <c r="L103" s="331">
        <f>L104+L113+L117</f>
        <v>52410.1</v>
      </c>
      <c r="Q103" s="385"/>
    </row>
    <row r="104" spans="1:17" ht="15.75" customHeight="1" thickBot="1">
      <c r="A104" s="297" t="s">
        <v>348</v>
      </c>
      <c r="B104" s="351" t="s">
        <v>345</v>
      </c>
      <c r="C104" s="351"/>
      <c r="D104" s="341"/>
      <c r="E104" s="349"/>
      <c r="F104" s="350">
        <f>'[2]роспись'!H63</f>
        <v>5320</v>
      </c>
      <c r="G104" s="350">
        <v>480</v>
      </c>
      <c r="H104" s="350">
        <v>668</v>
      </c>
      <c r="I104" s="342" t="e">
        <f>I108</f>
        <v>#REF!</v>
      </c>
      <c r="J104" s="342" t="e">
        <f>J108</f>
        <v>#REF!</v>
      </c>
      <c r="K104" s="342" t="e">
        <f>K108</f>
        <v>#REF!</v>
      </c>
      <c r="L104" s="343">
        <f>L108+L105+L112</f>
        <v>390</v>
      </c>
      <c r="Q104" s="385"/>
    </row>
    <row r="105" spans="1:17" ht="15.75" customHeight="1">
      <c r="A105" s="282" t="s">
        <v>432</v>
      </c>
      <c r="B105" s="276" t="s">
        <v>345</v>
      </c>
      <c r="C105" s="276" t="s">
        <v>447</v>
      </c>
      <c r="D105" s="277"/>
      <c r="E105" s="240"/>
      <c r="F105" s="241"/>
      <c r="G105" s="241"/>
      <c r="H105" s="241"/>
      <c r="I105" s="278"/>
      <c r="J105" s="278"/>
      <c r="K105" s="278"/>
      <c r="L105" s="284">
        <f>L106</f>
        <v>140</v>
      </c>
      <c r="Q105" s="385"/>
    </row>
    <row r="106" spans="1:17" ht="15.75" customHeight="1">
      <c r="A106" s="334" t="s">
        <v>347</v>
      </c>
      <c r="B106" s="240" t="s">
        <v>345</v>
      </c>
      <c r="C106" s="240" t="s">
        <v>447</v>
      </c>
      <c r="D106" s="240" t="s">
        <v>310</v>
      </c>
      <c r="E106" s="240"/>
      <c r="F106" s="241"/>
      <c r="G106" s="241"/>
      <c r="H106" s="241"/>
      <c r="I106" s="278"/>
      <c r="J106" s="278"/>
      <c r="K106" s="278"/>
      <c r="L106" s="245">
        <f>L107</f>
        <v>140</v>
      </c>
      <c r="Q106" s="385"/>
    </row>
    <row r="107" spans="1:17" ht="48.75" customHeight="1">
      <c r="A107" s="239" t="s">
        <v>349</v>
      </c>
      <c r="B107" s="240" t="s">
        <v>345</v>
      </c>
      <c r="C107" s="240" t="s">
        <v>447</v>
      </c>
      <c r="D107" s="240" t="s">
        <v>346</v>
      </c>
      <c r="E107" s="240"/>
      <c r="F107" s="241"/>
      <c r="G107" s="241"/>
      <c r="H107" s="241"/>
      <c r="I107" s="278"/>
      <c r="J107" s="278"/>
      <c r="K107" s="278"/>
      <c r="L107" s="245">
        <v>140</v>
      </c>
      <c r="Q107" s="385"/>
    </row>
    <row r="108" spans="1:17" ht="36.75" customHeight="1" hidden="1">
      <c r="A108" s="306" t="s">
        <v>419</v>
      </c>
      <c r="B108" s="276" t="s">
        <v>345</v>
      </c>
      <c r="C108" s="276" t="s">
        <v>433</v>
      </c>
      <c r="D108" s="276"/>
      <c r="E108" s="276"/>
      <c r="F108" s="285" t="e">
        <f>F110</f>
        <v>#REF!</v>
      </c>
      <c r="G108" s="285">
        <f>G110</f>
        <v>459.2</v>
      </c>
      <c r="H108" s="285">
        <f>H110</f>
        <v>796</v>
      </c>
      <c r="I108" s="279" t="e">
        <f>I110+#REF!</f>
        <v>#REF!</v>
      </c>
      <c r="J108" s="279" t="e">
        <f>J110+#REF!</f>
        <v>#REF!</v>
      </c>
      <c r="K108" s="279" t="e">
        <f>K110+#REF!</f>
        <v>#REF!</v>
      </c>
      <c r="L108" s="280">
        <f>L109</f>
        <v>0</v>
      </c>
      <c r="Q108" s="385"/>
    </row>
    <row r="109" spans="1:17" ht="23.25" customHeight="1" hidden="1">
      <c r="A109" s="334" t="s">
        <v>347</v>
      </c>
      <c r="B109" s="240" t="s">
        <v>345</v>
      </c>
      <c r="C109" s="240" t="s">
        <v>433</v>
      </c>
      <c r="D109" s="240" t="s">
        <v>310</v>
      </c>
      <c r="E109" s="240"/>
      <c r="F109" s="241" t="e">
        <f>'[2]роспись'!H64</f>
        <v>#REF!</v>
      </c>
      <c r="G109" s="241">
        <v>459.2</v>
      </c>
      <c r="H109" s="241">
        <v>796</v>
      </c>
      <c r="I109" s="242">
        <f>6469.6+600</f>
        <v>7069.6</v>
      </c>
      <c r="J109" s="249">
        <v>2772.6</v>
      </c>
      <c r="K109" s="250">
        <v>7069.6</v>
      </c>
      <c r="L109" s="245">
        <f>L110</f>
        <v>0</v>
      </c>
      <c r="Q109" s="385"/>
    </row>
    <row r="110" spans="1:17" ht="38.25" customHeight="1" hidden="1">
      <c r="A110" s="239" t="s">
        <v>349</v>
      </c>
      <c r="B110" s="253" t="s">
        <v>345</v>
      </c>
      <c r="C110" s="253" t="s">
        <v>433</v>
      </c>
      <c r="D110" s="253" t="s">
        <v>346</v>
      </c>
      <c r="E110" s="253"/>
      <c r="F110" s="254" t="e">
        <f>'[2]роспись'!H65</f>
        <v>#REF!</v>
      </c>
      <c r="G110" s="254">
        <v>459.2</v>
      </c>
      <c r="H110" s="254">
        <v>796</v>
      </c>
      <c r="I110" s="257">
        <f>6469.6+600</f>
        <v>7069.6</v>
      </c>
      <c r="J110" s="249">
        <v>2772.6</v>
      </c>
      <c r="K110" s="250">
        <v>7069.6</v>
      </c>
      <c r="L110" s="258">
        <f>'[3]Вед. 2020 (прил 4)'!N108</f>
        <v>0</v>
      </c>
      <c r="Q110" s="385"/>
    </row>
    <row r="111" spans="1:17" ht="38.25" customHeight="1">
      <c r="A111" s="239" t="s">
        <v>15</v>
      </c>
      <c r="B111" s="240" t="s">
        <v>345</v>
      </c>
      <c r="C111" s="240" t="s">
        <v>9</v>
      </c>
      <c r="D111" s="240" t="s">
        <v>346</v>
      </c>
      <c r="E111" s="240"/>
      <c r="F111" s="241"/>
      <c r="G111" s="241"/>
      <c r="H111" s="241"/>
      <c r="I111" s="242"/>
      <c r="J111" s="520"/>
      <c r="K111" s="244"/>
      <c r="L111" s="245">
        <f>L112</f>
        <v>250</v>
      </c>
      <c r="Q111" s="385"/>
    </row>
    <row r="112" spans="1:17" ht="40.5" customHeight="1" thickBot="1">
      <c r="A112" s="492" t="s">
        <v>349</v>
      </c>
      <c r="B112" s="324" t="s">
        <v>345</v>
      </c>
      <c r="C112" s="324" t="s">
        <v>9</v>
      </c>
      <c r="D112" s="324" t="s">
        <v>346</v>
      </c>
      <c r="E112" s="324"/>
      <c r="F112" s="493"/>
      <c r="G112" s="493"/>
      <c r="H112" s="493"/>
      <c r="I112" s="332"/>
      <c r="J112" s="494"/>
      <c r="K112" s="333"/>
      <c r="L112" s="495">
        <v>250</v>
      </c>
      <c r="Q112" s="385"/>
    </row>
    <row r="113" spans="1:17" ht="21" customHeight="1" thickBot="1">
      <c r="A113" s="297" t="s">
        <v>217</v>
      </c>
      <c r="B113" s="298" t="s">
        <v>216</v>
      </c>
      <c r="C113" s="298"/>
      <c r="D113" s="298"/>
      <c r="E113" s="304"/>
      <c r="F113" s="305">
        <f>'[2]роспись'!H68</f>
        <v>668</v>
      </c>
      <c r="G113" s="305">
        <v>480</v>
      </c>
      <c r="H113" s="305">
        <v>668</v>
      </c>
      <c r="I113" s="299" t="e">
        <f>I114</f>
        <v>#REF!</v>
      </c>
      <c r="J113" s="299" t="e">
        <f>J114</f>
        <v>#REF!</v>
      </c>
      <c r="K113" s="299" t="e">
        <f>K114</f>
        <v>#REF!</v>
      </c>
      <c r="L113" s="300">
        <f>L114</f>
        <v>51970.1</v>
      </c>
      <c r="Q113" s="385"/>
    </row>
    <row r="114" spans="1:17" ht="24">
      <c r="A114" s="306" t="s">
        <v>246</v>
      </c>
      <c r="B114" s="276" t="s">
        <v>216</v>
      </c>
      <c r="C114" s="277" t="s">
        <v>380</v>
      </c>
      <c r="D114" s="276"/>
      <c r="E114" s="276"/>
      <c r="F114" s="285">
        <f>F116</f>
        <v>796</v>
      </c>
      <c r="G114" s="285">
        <f>G116</f>
        <v>459.2</v>
      </c>
      <c r="H114" s="285">
        <f>H116</f>
        <v>796</v>
      </c>
      <c r="I114" s="279" t="e">
        <f>I116+#REF!</f>
        <v>#REF!</v>
      </c>
      <c r="J114" s="279" t="e">
        <f>J116+#REF!</f>
        <v>#REF!</v>
      </c>
      <c r="K114" s="279" t="e">
        <f>K116+#REF!</f>
        <v>#REF!</v>
      </c>
      <c r="L114" s="280">
        <f>L116</f>
        <v>51970.1</v>
      </c>
      <c r="Q114" s="385"/>
    </row>
    <row r="115" spans="1:17" ht="29.25" customHeight="1">
      <c r="A115" s="334" t="s">
        <v>309</v>
      </c>
      <c r="B115" s="240" t="s">
        <v>216</v>
      </c>
      <c r="C115" s="240" t="s">
        <v>380</v>
      </c>
      <c r="D115" s="240" t="s">
        <v>308</v>
      </c>
      <c r="E115" s="240"/>
      <c r="F115" s="241" t="e">
        <f>'[2]роспись'!H69</f>
        <v>#REF!</v>
      </c>
      <c r="G115" s="241">
        <v>459.2</v>
      </c>
      <c r="H115" s="241">
        <v>796</v>
      </c>
      <c r="I115" s="242">
        <f>6469.6+600</f>
        <v>7069.6</v>
      </c>
      <c r="J115" s="249">
        <v>2772.6</v>
      </c>
      <c r="K115" s="250">
        <v>7069.6</v>
      </c>
      <c r="L115" s="245">
        <f>L116</f>
        <v>51970.1</v>
      </c>
      <c r="Q115" s="385"/>
    </row>
    <row r="116" spans="1:17" ht="27.75" customHeight="1" thickBot="1">
      <c r="A116" s="239" t="s">
        <v>287</v>
      </c>
      <c r="B116" s="240" t="s">
        <v>216</v>
      </c>
      <c r="C116" s="240" t="s">
        <v>380</v>
      </c>
      <c r="D116" s="240" t="s">
        <v>242</v>
      </c>
      <c r="E116" s="240"/>
      <c r="F116" s="241">
        <f>'[2]роспись'!H70</f>
        <v>796</v>
      </c>
      <c r="G116" s="241">
        <v>459.2</v>
      </c>
      <c r="H116" s="241">
        <v>796</v>
      </c>
      <c r="I116" s="242">
        <f>6469.6+600</f>
        <v>7069.6</v>
      </c>
      <c r="J116" s="249">
        <v>2772.6</v>
      </c>
      <c r="K116" s="250">
        <v>7069.6</v>
      </c>
      <c r="L116" s="245">
        <v>51970.1</v>
      </c>
      <c r="Q116" s="385"/>
    </row>
    <row r="117" spans="1:17" ht="21" customHeight="1" thickBot="1">
      <c r="A117" s="297" t="s">
        <v>362</v>
      </c>
      <c r="B117" s="298" t="s">
        <v>361</v>
      </c>
      <c r="C117" s="298"/>
      <c r="D117" s="298"/>
      <c r="E117" s="304"/>
      <c r="F117" s="305" t="e">
        <f>'[2]роспись'!H73</f>
        <v>#REF!</v>
      </c>
      <c r="G117" s="305">
        <v>480</v>
      </c>
      <c r="H117" s="305">
        <v>668</v>
      </c>
      <c r="I117" s="299" t="e">
        <f>I118</f>
        <v>#REF!</v>
      </c>
      <c r="J117" s="299" t="e">
        <f>J118</f>
        <v>#REF!</v>
      </c>
      <c r="K117" s="299" t="e">
        <f>K118</f>
        <v>#REF!</v>
      </c>
      <c r="L117" s="300">
        <f>L118</f>
        <v>50</v>
      </c>
      <c r="Q117" s="385"/>
    </row>
    <row r="118" spans="1:17" ht="24">
      <c r="A118" s="306" t="s">
        <v>363</v>
      </c>
      <c r="B118" s="276" t="s">
        <v>361</v>
      </c>
      <c r="C118" s="277" t="s">
        <v>381</v>
      </c>
      <c r="D118" s="276"/>
      <c r="E118" s="276"/>
      <c r="F118" s="285">
        <f>F120</f>
        <v>204</v>
      </c>
      <c r="G118" s="285">
        <f>G120</f>
        <v>459.2</v>
      </c>
      <c r="H118" s="285">
        <f>H120</f>
        <v>796</v>
      </c>
      <c r="I118" s="279" t="e">
        <f>I120+I121</f>
        <v>#REF!</v>
      </c>
      <c r="J118" s="279" t="e">
        <f>J120+J121</f>
        <v>#REF!</v>
      </c>
      <c r="K118" s="279" t="e">
        <f>K120+K121</f>
        <v>#REF!</v>
      </c>
      <c r="L118" s="280">
        <f>L119</f>
        <v>50</v>
      </c>
      <c r="Q118" s="385"/>
    </row>
    <row r="119" spans="1:17" ht="29.25" customHeight="1">
      <c r="A119" s="334" t="s">
        <v>309</v>
      </c>
      <c r="B119" s="240" t="s">
        <v>361</v>
      </c>
      <c r="C119" s="240" t="s">
        <v>381</v>
      </c>
      <c r="D119" s="240" t="s">
        <v>308</v>
      </c>
      <c r="E119" s="240"/>
      <c r="F119" s="241" t="e">
        <f>'[2]роспись'!H74</f>
        <v>#REF!</v>
      </c>
      <c r="G119" s="241">
        <v>459.2</v>
      </c>
      <c r="H119" s="241">
        <v>796</v>
      </c>
      <c r="I119" s="242">
        <f>6469.6+600</f>
        <v>7069.6</v>
      </c>
      <c r="J119" s="249">
        <v>2772.6</v>
      </c>
      <c r="K119" s="250">
        <v>7069.6</v>
      </c>
      <c r="L119" s="245">
        <f>L120</f>
        <v>50</v>
      </c>
      <c r="Q119" s="385"/>
    </row>
    <row r="120" spans="1:17" ht="27.75" customHeight="1" thickBot="1">
      <c r="A120" s="239" t="s">
        <v>287</v>
      </c>
      <c r="B120" s="240" t="s">
        <v>361</v>
      </c>
      <c r="C120" s="240" t="s">
        <v>381</v>
      </c>
      <c r="D120" s="240" t="s">
        <v>242</v>
      </c>
      <c r="E120" s="240"/>
      <c r="F120" s="241">
        <f>'[2]роспись'!H75</f>
        <v>204</v>
      </c>
      <c r="G120" s="241">
        <v>459.2</v>
      </c>
      <c r="H120" s="241">
        <v>796</v>
      </c>
      <c r="I120" s="242">
        <f>6469.6+600</f>
        <v>7069.6</v>
      </c>
      <c r="J120" s="249">
        <v>2772.6</v>
      </c>
      <c r="K120" s="250">
        <v>7069.6</v>
      </c>
      <c r="L120" s="245">
        <v>50</v>
      </c>
      <c r="Q120" s="385"/>
    </row>
    <row r="121" spans="1:17" ht="13.5" thickBot="1">
      <c r="A121" s="297" t="s">
        <v>48</v>
      </c>
      <c r="B121" s="298" t="s">
        <v>49</v>
      </c>
      <c r="C121" s="298"/>
      <c r="D121" s="298"/>
      <c r="E121" s="240"/>
      <c r="F121" s="241" t="e">
        <f>#REF!+#REF!+#REF!</f>
        <v>#REF!</v>
      </c>
      <c r="G121" s="241" t="e">
        <f>#REF!+#REF!+#REF!</f>
        <v>#REF!</v>
      </c>
      <c r="H121" s="241" t="e">
        <f>#REF!+#REF!+#REF!</f>
        <v>#REF!</v>
      </c>
      <c r="I121" s="299" t="e">
        <f>#REF!+I133+I143+I153</f>
        <v>#REF!</v>
      </c>
      <c r="J121" s="299" t="e">
        <f>#REF!+J133+J143+J153</f>
        <v>#REF!</v>
      </c>
      <c r="K121" s="299" t="e">
        <f>#REF!+K133+K143+K153</f>
        <v>#REF!</v>
      </c>
      <c r="L121" s="300">
        <f>L122</f>
        <v>57086.5</v>
      </c>
      <c r="Q121" s="385"/>
    </row>
    <row r="122" spans="1:17" ht="13.5" thickBot="1">
      <c r="A122" s="309" t="s">
        <v>299</v>
      </c>
      <c r="B122" s="298" t="s">
        <v>88</v>
      </c>
      <c r="C122" s="298"/>
      <c r="D122" s="298"/>
      <c r="E122" s="298"/>
      <c r="F122" s="302"/>
      <c r="G122" s="302"/>
      <c r="H122" s="302"/>
      <c r="I122" s="299"/>
      <c r="J122" s="299"/>
      <c r="K122" s="299"/>
      <c r="L122" s="300">
        <f>L123+L133+L143+L153</f>
        <v>57086.5</v>
      </c>
      <c r="Q122" s="385"/>
    </row>
    <row r="123" spans="1:17" ht="27.75" customHeight="1" thickBot="1">
      <c r="A123" s="366" t="s">
        <v>353</v>
      </c>
      <c r="B123" s="341" t="s">
        <v>88</v>
      </c>
      <c r="C123" s="341" t="s">
        <v>382</v>
      </c>
      <c r="D123" s="341"/>
      <c r="E123" s="349"/>
      <c r="F123" s="350">
        <f>F124</f>
        <v>552.7</v>
      </c>
      <c r="G123" s="350">
        <f>G124</f>
        <v>79.8</v>
      </c>
      <c r="H123" s="350">
        <f>H124</f>
        <v>204</v>
      </c>
      <c r="I123" s="342" t="e">
        <f>I124+#REF!+#REF!</f>
        <v>#REF!</v>
      </c>
      <c r="J123" s="342" t="e">
        <f>J124+#REF!+#REF!</f>
        <v>#REF!</v>
      </c>
      <c r="K123" s="342" t="e">
        <f>K124+#REF!+#REF!</f>
        <v>#REF!</v>
      </c>
      <c r="L123" s="343">
        <f>L124+L127+L130</f>
        <v>11326</v>
      </c>
      <c r="Q123" s="385"/>
    </row>
    <row r="124" spans="1:17" ht="43.5" customHeight="1">
      <c r="A124" s="367" t="s">
        <v>247</v>
      </c>
      <c r="B124" s="321" t="s">
        <v>88</v>
      </c>
      <c r="C124" s="321" t="s">
        <v>383</v>
      </c>
      <c r="D124" s="321"/>
      <c r="E124" s="321"/>
      <c r="F124" s="357">
        <f>'[2]роспись'!H84</f>
        <v>552.7</v>
      </c>
      <c r="G124" s="357">
        <v>79.8</v>
      </c>
      <c r="H124" s="357">
        <v>204</v>
      </c>
      <c r="I124" s="358">
        <f>I126</f>
        <v>411.1</v>
      </c>
      <c r="J124" s="358">
        <f>J126</f>
        <v>0</v>
      </c>
      <c r="K124" s="358">
        <f>K126</f>
        <v>411.1</v>
      </c>
      <c r="L124" s="359">
        <f>L125</f>
        <v>6619.1</v>
      </c>
      <c r="Q124" s="385"/>
    </row>
    <row r="125" spans="1:17" ht="33" customHeight="1">
      <c r="A125" s="360" t="s">
        <v>309</v>
      </c>
      <c r="B125" s="240" t="s">
        <v>88</v>
      </c>
      <c r="C125" s="240" t="s">
        <v>383</v>
      </c>
      <c r="D125" s="240" t="s">
        <v>308</v>
      </c>
      <c r="E125" s="240"/>
      <c r="F125" s="241" t="e">
        <f>F126</f>
        <v>#REF!</v>
      </c>
      <c r="G125" s="241" t="e">
        <f>G126</f>
        <v>#REF!</v>
      </c>
      <c r="H125" s="241" t="e">
        <f>H126</f>
        <v>#REF!</v>
      </c>
      <c r="I125" s="242">
        <v>411.1</v>
      </c>
      <c r="J125" s="243"/>
      <c r="K125" s="244">
        <v>411.1</v>
      </c>
      <c r="L125" s="245">
        <f>L126</f>
        <v>6619.1</v>
      </c>
      <c r="Q125" s="385"/>
    </row>
    <row r="126" spans="1:17" ht="27" customHeight="1" thickBot="1">
      <c r="A126" s="365" t="s">
        <v>287</v>
      </c>
      <c r="B126" s="253" t="s">
        <v>88</v>
      </c>
      <c r="C126" s="253" t="s">
        <v>383</v>
      </c>
      <c r="D126" s="253" t="s">
        <v>242</v>
      </c>
      <c r="E126" s="253"/>
      <c r="F126" s="254" t="e">
        <f>#REF!</f>
        <v>#REF!</v>
      </c>
      <c r="G126" s="254" t="e">
        <f>#REF!</f>
        <v>#REF!</v>
      </c>
      <c r="H126" s="254" t="e">
        <f>#REF!</f>
        <v>#REF!</v>
      </c>
      <c r="I126" s="257">
        <v>411.1</v>
      </c>
      <c r="J126" s="249"/>
      <c r="K126" s="250">
        <v>411.1</v>
      </c>
      <c r="L126" s="258">
        <f>6475.5+143.6</f>
        <v>6619.1</v>
      </c>
      <c r="Q126" s="385"/>
    </row>
    <row r="127" spans="1:17" ht="24.75" thickBot="1">
      <c r="A127" s="418" t="s">
        <v>420</v>
      </c>
      <c r="B127" s="416" t="s">
        <v>88</v>
      </c>
      <c r="C127" s="304" t="s">
        <v>427</v>
      </c>
      <c r="D127" s="416"/>
      <c r="E127" s="415"/>
      <c r="F127" s="305"/>
      <c r="G127" s="305"/>
      <c r="H127" s="305"/>
      <c r="I127" s="305"/>
      <c r="J127" s="305"/>
      <c r="K127" s="305"/>
      <c r="L127" s="300">
        <f>L128</f>
        <v>4406.9</v>
      </c>
      <c r="Q127" s="385"/>
    </row>
    <row r="128" spans="1:17" ht="27" customHeight="1">
      <c r="A128" s="413" t="s">
        <v>309</v>
      </c>
      <c r="B128" s="414" t="s">
        <v>88</v>
      </c>
      <c r="C128" s="251" t="s">
        <v>427</v>
      </c>
      <c r="D128" s="414" t="s">
        <v>308</v>
      </c>
      <c r="E128" s="414" t="s">
        <v>308</v>
      </c>
      <c r="F128" s="252"/>
      <c r="G128" s="252"/>
      <c r="H128" s="252"/>
      <c r="I128" s="252"/>
      <c r="J128" s="252"/>
      <c r="K128" s="252"/>
      <c r="L128" s="256">
        <f>L129</f>
        <v>4406.9</v>
      </c>
      <c r="Q128" s="385"/>
    </row>
    <row r="129" spans="1:17" ht="27" customHeight="1" thickBot="1">
      <c r="A129" s="365" t="s">
        <v>287</v>
      </c>
      <c r="B129" s="335" t="s">
        <v>88</v>
      </c>
      <c r="C129" s="253" t="s">
        <v>427</v>
      </c>
      <c r="D129" s="335" t="s">
        <v>242</v>
      </c>
      <c r="E129" s="335" t="s">
        <v>242</v>
      </c>
      <c r="F129" s="254"/>
      <c r="G129" s="254"/>
      <c r="H129" s="254"/>
      <c r="I129" s="254"/>
      <c r="J129" s="254"/>
      <c r="K129" s="254"/>
      <c r="L129" s="258">
        <v>4406.9</v>
      </c>
      <c r="Q129" s="385"/>
    </row>
    <row r="130" spans="1:17" ht="27" customHeight="1" thickBot="1">
      <c r="A130" s="400" t="s">
        <v>434</v>
      </c>
      <c r="B130" s="415" t="s">
        <v>88</v>
      </c>
      <c r="C130" s="298" t="s">
        <v>435</v>
      </c>
      <c r="D130" s="416"/>
      <c r="E130" s="416"/>
      <c r="F130" s="305"/>
      <c r="G130" s="305"/>
      <c r="H130" s="305"/>
      <c r="I130" s="305"/>
      <c r="J130" s="305"/>
      <c r="K130" s="305"/>
      <c r="L130" s="300">
        <f>L131</f>
        <v>300</v>
      </c>
      <c r="Q130" s="385"/>
    </row>
    <row r="131" spans="1:17" ht="27" customHeight="1">
      <c r="A131" s="413" t="s">
        <v>309</v>
      </c>
      <c r="B131" s="414" t="s">
        <v>88</v>
      </c>
      <c r="C131" s="251" t="s">
        <v>435</v>
      </c>
      <c r="D131" s="414" t="s">
        <v>308</v>
      </c>
      <c r="E131" s="414"/>
      <c r="F131" s="252"/>
      <c r="G131" s="252"/>
      <c r="H131" s="252"/>
      <c r="I131" s="252"/>
      <c r="J131" s="252"/>
      <c r="K131" s="252"/>
      <c r="L131" s="256">
        <f>L132</f>
        <v>300</v>
      </c>
      <c r="Q131" s="385"/>
    </row>
    <row r="132" spans="1:17" ht="27" customHeight="1" thickBot="1">
      <c r="A132" s="365" t="s">
        <v>287</v>
      </c>
      <c r="B132" s="335" t="s">
        <v>88</v>
      </c>
      <c r="C132" s="253" t="s">
        <v>435</v>
      </c>
      <c r="D132" s="335" t="s">
        <v>242</v>
      </c>
      <c r="E132" s="335"/>
      <c r="F132" s="254"/>
      <c r="G132" s="254"/>
      <c r="H132" s="254"/>
      <c r="I132" s="254"/>
      <c r="J132" s="254"/>
      <c r="K132" s="254"/>
      <c r="L132" s="258">
        <v>300</v>
      </c>
      <c r="Q132" s="385"/>
    </row>
    <row r="133" spans="1:17" ht="36.75" thickBot="1">
      <c r="A133" s="401" t="s">
        <v>248</v>
      </c>
      <c r="B133" s="298" t="s">
        <v>88</v>
      </c>
      <c r="C133" s="298" t="s">
        <v>384</v>
      </c>
      <c r="D133" s="298"/>
      <c r="E133" s="304"/>
      <c r="F133" s="305">
        <f>F134</f>
        <v>1077.7</v>
      </c>
      <c r="G133" s="305">
        <f>G134</f>
        <v>566.3</v>
      </c>
      <c r="H133" s="305">
        <f>H134</f>
        <v>1077.7</v>
      </c>
      <c r="I133" s="299">
        <f>I134++I137+I140</f>
        <v>6501.6</v>
      </c>
      <c r="J133" s="299">
        <f>J134++J137+J140</f>
        <v>4178.700000000001</v>
      </c>
      <c r="K133" s="303">
        <f>K134++K137+K140</f>
        <v>6501.6</v>
      </c>
      <c r="L133" s="300">
        <f>L134++L137+L140</f>
        <v>11780</v>
      </c>
      <c r="Q133" s="385"/>
    </row>
    <row r="134" spans="1:17" ht="17.25" customHeight="1">
      <c r="A134" s="423" t="s">
        <v>249</v>
      </c>
      <c r="B134" s="414" t="s">
        <v>88</v>
      </c>
      <c r="C134" s="251" t="s">
        <v>385</v>
      </c>
      <c r="D134" s="414"/>
      <c r="E134" s="251"/>
      <c r="F134" s="251">
        <f aca="true" t="shared" si="10" ref="F134:K134">F136</f>
        <v>1077.7</v>
      </c>
      <c r="G134" s="252">
        <f t="shared" si="10"/>
        <v>566.3</v>
      </c>
      <c r="H134" s="252">
        <f t="shared" si="10"/>
        <v>1077.7</v>
      </c>
      <c r="I134" s="424">
        <f t="shared" si="10"/>
        <v>1800</v>
      </c>
      <c r="J134" s="424">
        <f t="shared" si="10"/>
        <v>1632.4</v>
      </c>
      <c r="K134" s="424">
        <f t="shared" si="10"/>
        <v>1800</v>
      </c>
      <c r="L134" s="425">
        <f>L135</f>
        <v>350</v>
      </c>
      <c r="Q134" s="385"/>
    </row>
    <row r="135" spans="1:17" ht="29.25" customHeight="1">
      <c r="A135" s="334" t="s">
        <v>309</v>
      </c>
      <c r="B135" s="426" t="s">
        <v>88</v>
      </c>
      <c r="C135" s="240" t="s">
        <v>385</v>
      </c>
      <c r="D135" s="426" t="s">
        <v>308</v>
      </c>
      <c r="E135" s="240"/>
      <c r="F135" s="240" t="e">
        <f>'[2]роспись'!H78</f>
        <v>#REF!</v>
      </c>
      <c r="G135" s="241">
        <v>566.3</v>
      </c>
      <c r="H135" s="241">
        <v>1077.7</v>
      </c>
      <c r="I135" s="427">
        <v>1800</v>
      </c>
      <c r="J135" s="243">
        <v>1632.4</v>
      </c>
      <c r="K135" s="244">
        <v>1800</v>
      </c>
      <c r="L135" s="245">
        <f>L136</f>
        <v>350</v>
      </c>
      <c r="Q135" s="385"/>
    </row>
    <row r="136" spans="1:17" ht="28.5" customHeight="1">
      <c r="A136" s="239" t="s">
        <v>287</v>
      </c>
      <c r="B136" s="426" t="s">
        <v>88</v>
      </c>
      <c r="C136" s="251" t="s">
        <v>385</v>
      </c>
      <c r="D136" s="426" t="s">
        <v>242</v>
      </c>
      <c r="E136" s="240"/>
      <c r="F136" s="240">
        <f>'[2]роспись'!H79</f>
        <v>1077.7</v>
      </c>
      <c r="G136" s="241">
        <v>566.3</v>
      </c>
      <c r="H136" s="241">
        <v>1077.7</v>
      </c>
      <c r="I136" s="427">
        <v>1800</v>
      </c>
      <c r="J136" s="243">
        <v>1632.4</v>
      </c>
      <c r="K136" s="244">
        <v>1800</v>
      </c>
      <c r="L136" s="245">
        <v>350</v>
      </c>
      <c r="Q136" s="385"/>
    </row>
    <row r="137" spans="1:17" ht="24" customHeight="1" hidden="1">
      <c r="A137" s="347" t="s">
        <v>89</v>
      </c>
      <c r="B137" s="426" t="s">
        <v>88</v>
      </c>
      <c r="C137" s="251" t="s">
        <v>386</v>
      </c>
      <c r="D137" s="426"/>
      <c r="E137" s="240"/>
      <c r="F137" s="241">
        <f>F143</f>
        <v>780.8000000000001</v>
      </c>
      <c r="G137" s="241">
        <f>G143</f>
        <v>457.5</v>
      </c>
      <c r="H137" s="241">
        <f>H143</f>
        <v>704.8000000000001</v>
      </c>
      <c r="I137" s="427">
        <f>I139</f>
        <v>1122</v>
      </c>
      <c r="J137" s="427">
        <f>J139</f>
        <v>475</v>
      </c>
      <c r="K137" s="427">
        <f>K139</f>
        <v>1122</v>
      </c>
      <c r="L137" s="428">
        <f>L138</f>
        <v>0</v>
      </c>
      <c r="Q137" s="385"/>
    </row>
    <row r="138" spans="1:17" ht="29.25" customHeight="1" hidden="1" thickBot="1">
      <c r="A138" s="334" t="s">
        <v>309</v>
      </c>
      <c r="B138" s="426" t="s">
        <v>88</v>
      </c>
      <c r="C138" s="251" t="s">
        <v>386</v>
      </c>
      <c r="D138" s="426" t="s">
        <v>308</v>
      </c>
      <c r="E138" s="240"/>
      <c r="F138" s="241">
        <f>F140</f>
        <v>0</v>
      </c>
      <c r="G138" s="241">
        <f>G140</f>
        <v>0</v>
      </c>
      <c r="H138" s="241">
        <f>H140</f>
        <v>0</v>
      </c>
      <c r="I138" s="427">
        <v>1122</v>
      </c>
      <c r="J138" s="427">
        <v>475</v>
      </c>
      <c r="K138" s="427">
        <v>1122</v>
      </c>
      <c r="L138" s="428">
        <f>L139</f>
        <v>0</v>
      </c>
      <c r="Q138" s="385"/>
    </row>
    <row r="139" spans="1:17" ht="25.5" customHeight="1" hidden="1" thickBot="1">
      <c r="A139" s="239" t="s">
        <v>287</v>
      </c>
      <c r="B139" s="426" t="s">
        <v>88</v>
      </c>
      <c r="C139" s="251" t="s">
        <v>386</v>
      </c>
      <c r="D139" s="426" t="s">
        <v>242</v>
      </c>
      <c r="E139" s="240"/>
      <c r="F139" s="241">
        <f>F142</f>
        <v>0</v>
      </c>
      <c r="G139" s="241">
        <f>G142</f>
        <v>0</v>
      </c>
      <c r="H139" s="241">
        <f>H142</f>
        <v>0</v>
      </c>
      <c r="I139" s="427">
        <v>1122</v>
      </c>
      <c r="J139" s="427">
        <v>475</v>
      </c>
      <c r="K139" s="427">
        <v>1122</v>
      </c>
      <c r="L139" s="428">
        <f>'[3]Вед. 2020 (прил 4)'!N135</f>
        <v>0</v>
      </c>
      <c r="Q139" s="385"/>
    </row>
    <row r="140" spans="1:17" ht="21" customHeight="1">
      <c r="A140" s="429" t="s">
        <v>250</v>
      </c>
      <c r="B140" s="426" t="s">
        <v>88</v>
      </c>
      <c r="C140" s="251" t="s">
        <v>387</v>
      </c>
      <c r="D140" s="426"/>
      <c r="E140" s="240"/>
      <c r="F140" s="241"/>
      <c r="G140" s="241"/>
      <c r="H140" s="241"/>
      <c r="I140" s="427">
        <f>I142</f>
        <v>3579.6</v>
      </c>
      <c r="J140" s="427">
        <f>J142</f>
        <v>2071.3</v>
      </c>
      <c r="K140" s="427">
        <f>K142</f>
        <v>3579.6</v>
      </c>
      <c r="L140" s="428">
        <f>L142</f>
        <v>11430</v>
      </c>
      <c r="Q140" s="385"/>
    </row>
    <row r="141" spans="1:17" ht="27" customHeight="1">
      <c r="A141" s="334" t="s">
        <v>309</v>
      </c>
      <c r="B141" s="335" t="s">
        <v>88</v>
      </c>
      <c r="C141" s="251" t="s">
        <v>387</v>
      </c>
      <c r="D141" s="426" t="s">
        <v>308</v>
      </c>
      <c r="E141" s="253"/>
      <c r="F141" s="254"/>
      <c r="G141" s="255"/>
      <c r="H141" s="255"/>
      <c r="I141" s="430">
        <v>3579.6</v>
      </c>
      <c r="J141" s="243">
        <v>2071.3</v>
      </c>
      <c r="K141" s="244">
        <v>3579.6</v>
      </c>
      <c r="L141" s="245">
        <f>L142</f>
        <v>11430</v>
      </c>
      <c r="Q141" s="385"/>
    </row>
    <row r="142" spans="1:17" ht="24" customHeight="1" thickBot="1">
      <c r="A142" s="239" t="s">
        <v>287</v>
      </c>
      <c r="B142" s="335" t="s">
        <v>88</v>
      </c>
      <c r="C142" s="324" t="s">
        <v>387</v>
      </c>
      <c r="D142" s="426" t="s">
        <v>242</v>
      </c>
      <c r="E142" s="253"/>
      <c r="F142" s="254"/>
      <c r="G142" s="255"/>
      <c r="H142" s="255"/>
      <c r="I142" s="430">
        <v>3579.6</v>
      </c>
      <c r="J142" s="243">
        <v>2071.3</v>
      </c>
      <c r="K142" s="244">
        <v>3579.6</v>
      </c>
      <c r="L142" s="245">
        <v>11430</v>
      </c>
      <c r="Q142" s="385"/>
    </row>
    <row r="143" spans="1:17" ht="18.75" customHeight="1" thickBot="1">
      <c r="A143" s="307" t="s">
        <v>251</v>
      </c>
      <c r="B143" s="322" t="s">
        <v>88</v>
      </c>
      <c r="C143" s="325" t="s">
        <v>391</v>
      </c>
      <c r="D143" s="323"/>
      <c r="E143" s="277"/>
      <c r="F143" s="278">
        <f>F144+F153</f>
        <v>780.8000000000001</v>
      </c>
      <c r="G143" s="278">
        <f>G144+G153</f>
        <v>457.5</v>
      </c>
      <c r="H143" s="278">
        <f>H144+H153</f>
        <v>704.8000000000001</v>
      </c>
      <c r="I143" s="299">
        <f>I144+I147</f>
        <v>571.6</v>
      </c>
      <c r="J143" s="299">
        <f>J144+J147</f>
        <v>100</v>
      </c>
      <c r="K143" s="299">
        <f>K144+K147</f>
        <v>571.6</v>
      </c>
      <c r="L143" s="300">
        <f>L144+L147+L150</f>
        <v>5480</v>
      </c>
      <c r="Q143" s="385"/>
    </row>
    <row r="144" spans="1:17" ht="29.25" customHeight="1" hidden="1">
      <c r="A144" s="417" t="s">
        <v>252</v>
      </c>
      <c r="B144" s="414" t="s">
        <v>88</v>
      </c>
      <c r="C144" s="251" t="s">
        <v>388</v>
      </c>
      <c r="D144" s="414"/>
      <c r="E144" s="240"/>
      <c r="F144" s="241">
        <f aca="true" t="shared" si="11" ref="F144:L144">F146</f>
        <v>552.7</v>
      </c>
      <c r="G144" s="241">
        <f t="shared" si="11"/>
        <v>356.1</v>
      </c>
      <c r="H144" s="241">
        <f t="shared" si="11"/>
        <v>552.7</v>
      </c>
      <c r="I144" s="424">
        <f t="shared" si="11"/>
        <v>150</v>
      </c>
      <c r="J144" s="424">
        <f t="shared" si="11"/>
        <v>100</v>
      </c>
      <c r="K144" s="424">
        <f t="shared" si="11"/>
        <v>150</v>
      </c>
      <c r="L144" s="425">
        <f t="shared" si="11"/>
        <v>0</v>
      </c>
      <c r="Q144" s="385"/>
    </row>
    <row r="145" spans="1:17" ht="30" customHeight="1" hidden="1">
      <c r="A145" s="334" t="s">
        <v>309</v>
      </c>
      <c r="B145" s="414" t="s">
        <v>88</v>
      </c>
      <c r="C145" s="251" t="s">
        <v>388</v>
      </c>
      <c r="D145" s="414" t="s">
        <v>308</v>
      </c>
      <c r="E145" s="240"/>
      <c r="F145" s="241" t="e">
        <f>'[2]роспись'!H83</f>
        <v>#REF!</v>
      </c>
      <c r="G145" s="241">
        <v>356.1</v>
      </c>
      <c r="H145" s="241">
        <v>552.7</v>
      </c>
      <c r="I145" s="424">
        <v>150</v>
      </c>
      <c r="J145" s="431">
        <v>100</v>
      </c>
      <c r="K145" s="432">
        <v>150</v>
      </c>
      <c r="L145" s="245">
        <f>L146</f>
        <v>0</v>
      </c>
      <c r="Q145" s="385"/>
    </row>
    <row r="146" spans="1:17" ht="32.25" customHeight="1" hidden="1">
      <c r="A146" s="239" t="s">
        <v>287</v>
      </c>
      <c r="B146" s="414" t="s">
        <v>88</v>
      </c>
      <c r="C146" s="251" t="s">
        <v>388</v>
      </c>
      <c r="D146" s="414" t="s">
        <v>242</v>
      </c>
      <c r="E146" s="240"/>
      <c r="F146" s="241">
        <f>'[2]роспись'!H84</f>
        <v>552.7</v>
      </c>
      <c r="G146" s="241">
        <v>356.1</v>
      </c>
      <c r="H146" s="241">
        <v>552.7</v>
      </c>
      <c r="I146" s="424">
        <v>150</v>
      </c>
      <c r="J146" s="431">
        <v>100</v>
      </c>
      <c r="K146" s="432">
        <v>150</v>
      </c>
      <c r="L146" s="245">
        <f>'[3]Вед. 2020 (прил 4)'!N142</f>
        <v>0</v>
      </c>
      <c r="Q146" s="385"/>
    </row>
    <row r="147" spans="1:17" ht="32.25" customHeight="1">
      <c r="A147" s="433" t="s">
        <v>354</v>
      </c>
      <c r="B147" s="335" t="s">
        <v>88</v>
      </c>
      <c r="C147" s="251" t="s">
        <v>389</v>
      </c>
      <c r="D147" s="335"/>
      <c r="E147" s="240"/>
      <c r="F147" s="241"/>
      <c r="G147" s="241"/>
      <c r="H147" s="241"/>
      <c r="I147" s="430">
        <f>I149</f>
        <v>421.6</v>
      </c>
      <c r="J147" s="430">
        <f>J149</f>
        <v>0</v>
      </c>
      <c r="K147" s="430">
        <f>K149</f>
        <v>421.6</v>
      </c>
      <c r="L147" s="434">
        <f>L149</f>
        <v>5280</v>
      </c>
      <c r="Q147" s="385"/>
    </row>
    <row r="148" spans="1:17" ht="29.25" customHeight="1">
      <c r="A148" s="334" t="s">
        <v>309</v>
      </c>
      <c r="B148" s="335" t="s">
        <v>88</v>
      </c>
      <c r="C148" s="251" t="s">
        <v>389</v>
      </c>
      <c r="D148" s="335" t="s">
        <v>308</v>
      </c>
      <c r="E148" s="240"/>
      <c r="F148" s="241"/>
      <c r="G148" s="241"/>
      <c r="H148" s="241"/>
      <c r="I148" s="430">
        <v>421.6</v>
      </c>
      <c r="J148" s="435"/>
      <c r="K148" s="435">
        <v>421.6</v>
      </c>
      <c r="L148" s="245">
        <f>L149</f>
        <v>5280</v>
      </c>
      <c r="Q148" s="385"/>
    </row>
    <row r="149" spans="1:17" ht="31.5" customHeight="1">
      <c r="A149" s="239" t="s">
        <v>287</v>
      </c>
      <c r="B149" s="335" t="s">
        <v>88</v>
      </c>
      <c r="C149" s="251" t="s">
        <v>389</v>
      </c>
      <c r="D149" s="335" t="s">
        <v>242</v>
      </c>
      <c r="E149" s="240"/>
      <c r="F149" s="241"/>
      <c r="G149" s="241"/>
      <c r="H149" s="241"/>
      <c r="I149" s="430">
        <v>421.6</v>
      </c>
      <c r="J149" s="435"/>
      <c r="K149" s="435">
        <v>421.6</v>
      </c>
      <c r="L149" s="245">
        <v>5280</v>
      </c>
      <c r="Q149" s="385"/>
    </row>
    <row r="150" spans="1:17" ht="28.5" customHeight="1">
      <c r="A150" s="433" t="s">
        <v>365</v>
      </c>
      <c r="B150" s="335" t="s">
        <v>88</v>
      </c>
      <c r="C150" s="251" t="s">
        <v>390</v>
      </c>
      <c r="D150" s="335"/>
      <c r="E150" s="240"/>
      <c r="F150" s="241"/>
      <c r="G150" s="241"/>
      <c r="H150" s="241"/>
      <c r="I150" s="430">
        <f>I152</f>
        <v>421.6</v>
      </c>
      <c r="J150" s="430">
        <f>J152</f>
        <v>0</v>
      </c>
      <c r="K150" s="430">
        <f>K152</f>
        <v>421.6</v>
      </c>
      <c r="L150" s="434">
        <f>L152</f>
        <v>200</v>
      </c>
      <c r="Q150" s="385"/>
    </row>
    <row r="151" spans="1:17" ht="27" customHeight="1">
      <c r="A151" s="334" t="s">
        <v>309</v>
      </c>
      <c r="B151" s="335" t="s">
        <v>88</v>
      </c>
      <c r="C151" s="251" t="s">
        <v>390</v>
      </c>
      <c r="D151" s="335" t="s">
        <v>308</v>
      </c>
      <c r="E151" s="240"/>
      <c r="F151" s="241"/>
      <c r="G151" s="241"/>
      <c r="H151" s="241"/>
      <c r="I151" s="430">
        <v>421.6</v>
      </c>
      <c r="J151" s="435"/>
      <c r="K151" s="435">
        <v>421.6</v>
      </c>
      <c r="L151" s="245">
        <f>L152</f>
        <v>200</v>
      </c>
      <c r="Q151" s="385"/>
    </row>
    <row r="152" spans="1:17" ht="27" customHeight="1" thickBot="1">
      <c r="A152" s="239" t="s">
        <v>287</v>
      </c>
      <c r="B152" s="335" t="s">
        <v>88</v>
      </c>
      <c r="C152" s="324" t="s">
        <v>390</v>
      </c>
      <c r="D152" s="335" t="s">
        <v>242</v>
      </c>
      <c r="E152" s="240"/>
      <c r="F152" s="241"/>
      <c r="G152" s="241"/>
      <c r="H152" s="241"/>
      <c r="I152" s="430">
        <v>421.6</v>
      </c>
      <c r="J152" s="435"/>
      <c r="K152" s="435">
        <v>421.6</v>
      </c>
      <c r="L152" s="245">
        <v>200</v>
      </c>
      <c r="Q152" s="385"/>
    </row>
    <row r="153" spans="1:17" ht="13.5" thickBot="1">
      <c r="A153" s="356" t="s">
        <v>253</v>
      </c>
      <c r="B153" s="341" t="s">
        <v>88</v>
      </c>
      <c r="C153" s="402" t="s">
        <v>395</v>
      </c>
      <c r="D153" s="341"/>
      <c r="E153" s="308"/>
      <c r="F153" s="403">
        <f>F154</f>
        <v>228.1</v>
      </c>
      <c r="G153" s="403">
        <f>G154</f>
        <v>101.4</v>
      </c>
      <c r="H153" s="403">
        <f>H154</f>
        <v>152.1</v>
      </c>
      <c r="I153" s="342">
        <f>I154+I157+I160</f>
        <v>5808.799999999999</v>
      </c>
      <c r="J153" s="342">
        <f>J154+J157+J160</f>
        <v>3821.0000000000005</v>
      </c>
      <c r="K153" s="342">
        <f>K154+K157+K160</f>
        <v>5808.799999999999</v>
      </c>
      <c r="L153" s="343">
        <f>L154+L157+L160</f>
        <v>28500.5</v>
      </c>
      <c r="Q153" s="385"/>
    </row>
    <row r="154" spans="1:17" ht="24">
      <c r="A154" s="436" t="s">
        <v>355</v>
      </c>
      <c r="B154" s="437" t="s">
        <v>88</v>
      </c>
      <c r="C154" s="321" t="s">
        <v>392</v>
      </c>
      <c r="D154" s="437"/>
      <c r="E154" s="321"/>
      <c r="F154" s="357">
        <f>'[2]роспись'!H96</f>
        <v>228.1</v>
      </c>
      <c r="G154" s="357">
        <v>101.4</v>
      </c>
      <c r="H154" s="357">
        <v>152.1</v>
      </c>
      <c r="I154" s="358">
        <f>I156</f>
        <v>3232.7</v>
      </c>
      <c r="J154" s="358">
        <f>J156</f>
        <v>1940.7</v>
      </c>
      <c r="K154" s="358">
        <f>K156</f>
        <v>3232.7</v>
      </c>
      <c r="L154" s="359">
        <f>L156</f>
        <v>15760.7</v>
      </c>
      <c r="Q154" s="385"/>
    </row>
    <row r="155" spans="1:17" ht="22.5" customHeight="1">
      <c r="A155" s="360" t="s">
        <v>309</v>
      </c>
      <c r="B155" s="426" t="s">
        <v>88</v>
      </c>
      <c r="C155" s="251" t="s">
        <v>392</v>
      </c>
      <c r="D155" s="426" t="s">
        <v>308</v>
      </c>
      <c r="E155" s="240"/>
      <c r="F155" s="241">
        <f aca="true" t="shared" si="12" ref="F155:H156">F156</f>
        <v>400</v>
      </c>
      <c r="G155" s="241">
        <f t="shared" si="12"/>
        <v>220</v>
      </c>
      <c r="H155" s="241">
        <f t="shared" si="12"/>
        <v>400</v>
      </c>
      <c r="I155" s="242">
        <f>3844.9-612.2</f>
        <v>3232.7</v>
      </c>
      <c r="J155" s="242">
        <v>1940.7</v>
      </c>
      <c r="K155" s="242">
        <v>3232.7</v>
      </c>
      <c r="L155" s="245">
        <f>L156</f>
        <v>15760.7</v>
      </c>
      <c r="Q155" s="385"/>
    </row>
    <row r="156" spans="1:17" ht="26.25" customHeight="1">
      <c r="A156" s="238" t="s">
        <v>287</v>
      </c>
      <c r="B156" s="426" t="s">
        <v>88</v>
      </c>
      <c r="C156" s="251" t="s">
        <v>392</v>
      </c>
      <c r="D156" s="426" t="s">
        <v>242</v>
      </c>
      <c r="E156" s="240"/>
      <c r="F156" s="241">
        <f t="shared" si="12"/>
        <v>400</v>
      </c>
      <c r="G156" s="241">
        <f t="shared" si="12"/>
        <v>220</v>
      </c>
      <c r="H156" s="241">
        <f t="shared" si="12"/>
        <v>400</v>
      </c>
      <c r="I156" s="242">
        <f>3844.9-612.2</f>
        <v>3232.7</v>
      </c>
      <c r="J156" s="242">
        <v>1940.7</v>
      </c>
      <c r="K156" s="242">
        <v>3232.7</v>
      </c>
      <c r="L156" s="245">
        <f>5710.7+10050</f>
        <v>15760.7</v>
      </c>
      <c r="Q156" s="385"/>
    </row>
    <row r="157" spans="1:17" ht="18" customHeight="1">
      <c r="A157" s="360" t="s">
        <v>356</v>
      </c>
      <c r="B157" s="426" t="s">
        <v>88</v>
      </c>
      <c r="C157" s="251" t="s">
        <v>393</v>
      </c>
      <c r="D157" s="426"/>
      <c r="E157" s="240"/>
      <c r="F157" s="241">
        <f>F159</f>
        <v>400</v>
      </c>
      <c r="G157" s="241">
        <f aca="true" t="shared" si="13" ref="G157:L157">G159</f>
        <v>220</v>
      </c>
      <c r="H157" s="241">
        <f t="shared" si="13"/>
        <v>400</v>
      </c>
      <c r="I157" s="242">
        <v>2076.1</v>
      </c>
      <c r="J157" s="241">
        <f t="shared" si="13"/>
        <v>1865.4</v>
      </c>
      <c r="K157" s="241">
        <f t="shared" si="13"/>
        <v>2076.1</v>
      </c>
      <c r="L157" s="245">
        <f t="shared" si="13"/>
        <v>10639.8</v>
      </c>
      <c r="Q157" s="385"/>
    </row>
    <row r="158" spans="1:17" ht="26.25" customHeight="1">
      <c r="A158" s="360" t="s">
        <v>309</v>
      </c>
      <c r="B158" s="426" t="s">
        <v>88</v>
      </c>
      <c r="C158" s="251" t="s">
        <v>393</v>
      </c>
      <c r="D158" s="426" t="s">
        <v>308</v>
      </c>
      <c r="E158" s="240"/>
      <c r="F158" s="241">
        <f aca="true" t="shared" si="14" ref="F158:H159">F159</f>
        <v>400</v>
      </c>
      <c r="G158" s="241">
        <f t="shared" si="14"/>
        <v>220</v>
      </c>
      <c r="H158" s="241">
        <f t="shared" si="14"/>
        <v>400</v>
      </c>
      <c r="I158" s="242">
        <v>2076.1</v>
      </c>
      <c r="J158" s="242">
        <v>1865.4</v>
      </c>
      <c r="K158" s="242">
        <v>2076.1</v>
      </c>
      <c r="L158" s="245">
        <f>L159</f>
        <v>10639.8</v>
      </c>
      <c r="Q158" s="385"/>
    </row>
    <row r="159" spans="1:17" ht="27" customHeight="1">
      <c r="A159" s="238" t="s">
        <v>287</v>
      </c>
      <c r="B159" s="426" t="s">
        <v>88</v>
      </c>
      <c r="C159" s="251" t="s">
        <v>393</v>
      </c>
      <c r="D159" s="426" t="s">
        <v>242</v>
      </c>
      <c r="E159" s="240"/>
      <c r="F159" s="241">
        <f t="shared" si="14"/>
        <v>400</v>
      </c>
      <c r="G159" s="241">
        <f t="shared" si="14"/>
        <v>220</v>
      </c>
      <c r="H159" s="241">
        <f t="shared" si="14"/>
        <v>400</v>
      </c>
      <c r="I159" s="242">
        <v>2076.1</v>
      </c>
      <c r="J159" s="242">
        <v>1865.4</v>
      </c>
      <c r="K159" s="242">
        <v>2076.1</v>
      </c>
      <c r="L159" s="245">
        <v>10639.8</v>
      </c>
      <c r="Q159" s="385"/>
    </row>
    <row r="160" spans="1:17" ht="21" customHeight="1">
      <c r="A160" s="360" t="s">
        <v>90</v>
      </c>
      <c r="B160" s="426" t="s">
        <v>88</v>
      </c>
      <c r="C160" s="251" t="s">
        <v>394</v>
      </c>
      <c r="D160" s="426"/>
      <c r="E160" s="240"/>
      <c r="F160" s="241">
        <v>400</v>
      </c>
      <c r="G160" s="241">
        <v>220</v>
      </c>
      <c r="H160" s="241">
        <v>400</v>
      </c>
      <c r="I160" s="242">
        <f>I162</f>
        <v>500</v>
      </c>
      <c r="J160" s="242">
        <f>J162</f>
        <v>14.9</v>
      </c>
      <c r="K160" s="242">
        <f>K162</f>
        <v>500</v>
      </c>
      <c r="L160" s="245">
        <f>L162</f>
        <v>2100</v>
      </c>
      <c r="Q160" s="385"/>
    </row>
    <row r="161" spans="1:17" ht="24.75" customHeight="1">
      <c r="A161" s="360" t="s">
        <v>309</v>
      </c>
      <c r="B161" s="335" t="s">
        <v>88</v>
      </c>
      <c r="C161" s="251" t="s">
        <v>394</v>
      </c>
      <c r="D161" s="426" t="s">
        <v>308</v>
      </c>
      <c r="E161" s="240"/>
      <c r="F161" s="241" t="e">
        <f aca="true" t="shared" si="15" ref="F161:H162">F167</f>
        <v>#REF!</v>
      </c>
      <c r="G161" s="241" t="e">
        <f t="shared" si="15"/>
        <v>#REF!</v>
      </c>
      <c r="H161" s="241" t="e">
        <f t="shared" si="15"/>
        <v>#REF!</v>
      </c>
      <c r="I161" s="257">
        <v>500</v>
      </c>
      <c r="J161" s="257">
        <v>14.9</v>
      </c>
      <c r="K161" s="257">
        <v>500</v>
      </c>
      <c r="L161" s="258">
        <f>L162</f>
        <v>2100</v>
      </c>
      <c r="Q161" s="385"/>
    </row>
    <row r="162" spans="1:17" ht="27" customHeight="1" thickBot="1">
      <c r="A162" s="361" t="s">
        <v>287</v>
      </c>
      <c r="B162" s="438" t="s">
        <v>88</v>
      </c>
      <c r="C162" s="362" t="s">
        <v>394</v>
      </c>
      <c r="D162" s="438" t="s">
        <v>242</v>
      </c>
      <c r="E162" s="362"/>
      <c r="F162" s="363" t="e">
        <f t="shared" si="15"/>
        <v>#REF!</v>
      </c>
      <c r="G162" s="363" t="e">
        <f t="shared" si="15"/>
        <v>#REF!</v>
      </c>
      <c r="H162" s="363" t="e">
        <f t="shared" si="15"/>
        <v>#REF!</v>
      </c>
      <c r="I162" s="363">
        <v>500</v>
      </c>
      <c r="J162" s="363">
        <v>14.9</v>
      </c>
      <c r="K162" s="363">
        <v>500</v>
      </c>
      <c r="L162" s="364">
        <v>2100</v>
      </c>
      <c r="Q162" s="385"/>
    </row>
    <row r="163" spans="1:17" ht="13.5" thickBot="1">
      <c r="A163" s="400" t="s">
        <v>50</v>
      </c>
      <c r="B163" s="298" t="s">
        <v>38</v>
      </c>
      <c r="C163" s="298"/>
      <c r="D163" s="298"/>
      <c r="E163" s="298"/>
      <c r="F163" s="302" t="e">
        <f aca="true" t="shared" si="16" ref="F163:K163">F168</f>
        <v>#REF!</v>
      </c>
      <c r="G163" s="302" t="e">
        <f t="shared" si="16"/>
        <v>#REF!</v>
      </c>
      <c r="H163" s="302" t="e">
        <f t="shared" si="16"/>
        <v>#REF!</v>
      </c>
      <c r="I163" s="299" t="e">
        <f t="shared" si="16"/>
        <v>#REF!</v>
      </c>
      <c r="J163" s="299" t="e">
        <f t="shared" si="16"/>
        <v>#REF!</v>
      </c>
      <c r="K163" s="299" t="e">
        <f t="shared" si="16"/>
        <v>#REF!</v>
      </c>
      <c r="L163" s="300">
        <f>L168+L164</f>
        <v>1141.5</v>
      </c>
      <c r="Q163" s="385"/>
    </row>
    <row r="164" spans="1:17" ht="30" customHeight="1">
      <c r="A164" s="388" t="s">
        <v>301</v>
      </c>
      <c r="B164" s="351" t="s">
        <v>300</v>
      </c>
      <c r="C164" s="351"/>
      <c r="D164" s="351"/>
      <c r="E164" s="351"/>
      <c r="F164" s="372" t="e">
        <f>F168</f>
        <v>#REF!</v>
      </c>
      <c r="G164" s="372" t="e">
        <f>G168</f>
        <v>#REF!</v>
      </c>
      <c r="H164" s="372" t="e">
        <f>H168</f>
        <v>#REF!</v>
      </c>
      <c r="I164" s="373" t="e">
        <f>I168+#REF!+#REF!</f>
        <v>#REF!</v>
      </c>
      <c r="J164" s="373" t="e">
        <f>J168+#REF!+#REF!</f>
        <v>#REF!</v>
      </c>
      <c r="K164" s="373" t="e">
        <f>K168+#REF!+#REF!</f>
        <v>#REF!</v>
      </c>
      <c r="L164" s="374">
        <f>L165</f>
        <v>100</v>
      </c>
      <c r="Q164" s="385"/>
    </row>
    <row r="165" spans="1:17" ht="84" customHeight="1">
      <c r="A165" s="375" t="s">
        <v>352</v>
      </c>
      <c r="B165" s="277" t="s">
        <v>300</v>
      </c>
      <c r="C165" s="277" t="s">
        <v>396</v>
      </c>
      <c r="D165" s="277"/>
      <c r="E165" s="277"/>
      <c r="F165" s="278" t="e">
        <f>'[2]роспись'!H101</f>
        <v>#REF!</v>
      </c>
      <c r="G165" s="278">
        <v>309.4</v>
      </c>
      <c r="H165" s="278">
        <v>500</v>
      </c>
      <c r="I165" s="283" t="e">
        <f>I168</f>
        <v>#REF!</v>
      </c>
      <c r="J165" s="283" t="e">
        <f>J168</f>
        <v>#REF!</v>
      </c>
      <c r="K165" s="283" t="e">
        <f>K168</f>
        <v>#REF!</v>
      </c>
      <c r="L165" s="284">
        <f>L167</f>
        <v>100</v>
      </c>
      <c r="Q165" s="385"/>
    </row>
    <row r="166" spans="1:17" ht="25.5" customHeight="1">
      <c r="A166" s="360" t="s">
        <v>309</v>
      </c>
      <c r="B166" s="240" t="s">
        <v>300</v>
      </c>
      <c r="C166" s="240" t="s">
        <v>396</v>
      </c>
      <c r="D166" s="240" t="s">
        <v>308</v>
      </c>
      <c r="E166" s="246"/>
      <c r="F166" s="247" t="e">
        <f>F5+#REF!</f>
        <v>#REF!</v>
      </c>
      <c r="G166" s="247" t="e">
        <f>G5+#REF!</f>
        <v>#REF!</v>
      </c>
      <c r="H166" s="247" t="e">
        <f>H5+#REF!</f>
        <v>#REF!</v>
      </c>
      <c r="I166" s="242">
        <v>299</v>
      </c>
      <c r="J166" s="242">
        <v>243.6</v>
      </c>
      <c r="K166" s="242">
        <v>299</v>
      </c>
      <c r="L166" s="258">
        <f>L167</f>
        <v>100</v>
      </c>
      <c r="Q166" s="385"/>
    </row>
    <row r="167" spans="1:17" ht="26.25" customHeight="1">
      <c r="A167" s="238" t="s">
        <v>287</v>
      </c>
      <c r="B167" s="240" t="s">
        <v>300</v>
      </c>
      <c r="C167" s="240" t="s">
        <v>396</v>
      </c>
      <c r="D167" s="253" t="s">
        <v>242</v>
      </c>
      <c r="E167" s="246"/>
      <c r="F167" s="247" t="e">
        <f>F6+#REF!</f>
        <v>#REF!</v>
      </c>
      <c r="G167" s="247" t="e">
        <f>G6+#REF!</f>
        <v>#REF!</v>
      </c>
      <c r="H167" s="247" t="e">
        <f>H6+#REF!</f>
        <v>#REF!</v>
      </c>
      <c r="I167" s="242">
        <v>299</v>
      </c>
      <c r="J167" s="242">
        <v>243.6</v>
      </c>
      <c r="K167" s="242">
        <v>299</v>
      </c>
      <c r="L167" s="258">
        <v>100</v>
      </c>
      <c r="Q167" s="385"/>
    </row>
    <row r="168" spans="1:17" ht="18.75" customHeight="1">
      <c r="A168" s="398" t="s">
        <v>415</v>
      </c>
      <c r="B168" s="276" t="s">
        <v>39</v>
      </c>
      <c r="C168" s="397"/>
      <c r="D168" s="277"/>
      <c r="E168" s="277"/>
      <c r="F168" s="278" t="e">
        <f>#REF!</f>
        <v>#REF!</v>
      </c>
      <c r="G168" s="278" t="e">
        <f>#REF!</f>
        <v>#REF!</v>
      </c>
      <c r="H168" s="278" t="e">
        <f>#REF!</f>
        <v>#REF!</v>
      </c>
      <c r="I168" s="278" t="e">
        <f>#REF!+#REF!+I172</f>
        <v>#REF!</v>
      </c>
      <c r="J168" s="278" t="e">
        <f>#REF!+#REF!+J172</f>
        <v>#REF!</v>
      </c>
      <c r="K168" s="278" t="e">
        <f>#REF!+#REF!+K172</f>
        <v>#REF!</v>
      </c>
      <c r="L168" s="284">
        <f>L172+L169</f>
        <v>1041.5</v>
      </c>
      <c r="Q168" s="385"/>
    </row>
    <row r="169" spans="1:17" ht="38.25" customHeight="1">
      <c r="A169" s="375" t="s">
        <v>436</v>
      </c>
      <c r="B169" s="277" t="s">
        <v>39</v>
      </c>
      <c r="C169" s="277" t="s">
        <v>437</v>
      </c>
      <c r="D169" s="276"/>
      <c r="E169" s="353"/>
      <c r="F169" s="354"/>
      <c r="G169" s="354"/>
      <c r="H169" s="354"/>
      <c r="I169" s="279"/>
      <c r="J169" s="279"/>
      <c r="K169" s="279"/>
      <c r="L169" s="355">
        <f>L170</f>
        <v>654.5</v>
      </c>
      <c r="Q169" s="385"/>
    </row>
    <row r="170" spans="1:17" ht="27" customHeight="1">
      <c r="A170" s="360" t="s">
        <v>309</v>
      </c>
      <c r="B170" s="240" t="s">
        <v>39</v>
      </c>
      <c r="C170" s="240" t="s">
        <v>437</v>
      </c>
      <c r="D170" s="240" t="s">
        <v>308</v>
      </c>
      <c r="E170" s="353"/>
      <c r="F170" s="354"/>
      <c r="G170" s="354"/>
      <c r="H170" s="354"/>
      <c r="I170" s="279"/>
      <c r="J170" s="279"/>
      <c r="K170" s="279"/>
      <c r="L170" s="369">
        <f>L171</f>
        <v>654.5</v>
      </c>
      <c r="Q170" s="385"/>
    </row>
    <row r="171" spans="1:17" ht="24.75" customHeight="1">
      <c r="A171" s="238" t="s">
        <v>287</v>
      </c>
      <c r="B171" s="240" t="s">
        <v>39</v>
      </c>
      <c r="C171" s="240" t="s">
        <v>437</v>
      </c>
      <c r="D171" s="240" t="s">
        <v>242</v>
      </c>
      <c r="E171" s="353"/>
      <c r="F171" s="354"/>
      <c r="G171" s="354"/>
      <c r="H171" s="354"/>
      <c r="I171" s="279"/>
      <c r="J171" s="279"/>
      <c r="K171" s="279"/>
      <c r="L171" s="369">
        <v>654.5</v>
      </c>
      <c r="Q171" s="385"/>
    </row>
    <row r="172" spans="1:17" ht="50.25" customHeight="1">
      <c r="A172" s="392" t="s">
        <v>357</v>
      </c>
      <c r="B172" s="277" t="s">
        <v>39</v>
      </c>
      <c r="C172" s="277" t="s">
        <v>408</v>
      </c>
      <c r="D172" s="277"/>
      <c r="E172" s="311"/>
      <c r="F172" s="312"/>
      <c r="G172" s="313"/>
      <c r="H172" s="313"/>
      <c r="I172" s="283">
        <f>I174</f>
        <v>120</v>
      </c>
      <c r="J172" s="283">
        <f>J174</f>
        <v>100</v>
      </c>
      <c r="K172" s="283">
        <f>K174</f>
        <v>120</v>
      </c>
      <c r="L172" s="284">
        <f>L174</f>
        <v>387</v>
      </c>
      <c r="Q172" s="385"/>
    </row>
    <row r="173" spans="1:17" ht="32.25" customHeight="1">
      <c r="A173" s="360" t="s">
        <v>309</v>
      </c>
      <c r="B173" s="253" t="s">
        <v>39</v>
      </c>
      <c r="C173" s="240" t="s">
        <v>408</v>
      </c>
      <c r="D173" s="240" t="s">
        <v>308</v>
      </c>
      <c r="E173" s="259"/>
      <c r="F173" s="260"/>
      <c r="G173" s="261"/>
      <c r="H173" s="261"/>
      <c r="I173" s="257">
        <v>120</v>
      </c>
      <c r="J173" s="257">
        <v>100</v>
      </c>
      <c r="K173" s="257">
        <v>120</v>
      </c>
      <c r="L173" s="258">
        <f>L174</f>
        <v>387</v>
      </c>
      <c r="Q173" s="385"/>
    </row>
    <row r="174" spans="1:17" ht="27.75" customHeight="1" thickBot="1">
      <c r="A174" s="361" t="s">
        <v>287</v>
      </c>
      <c r="B174" s="362" t="s">
        <v>39</v>
      </c>
      <c r="C174" s="362" t="s">
        <v>408</v>
      </c>
      <c r="D174" s="362" t="s">
        <v>242</v>
      </c>
      <c r="E174" s="394"/>
      <c r="F174" s="395"/>
      <c r="G174" s="396"/>
      <c r="H174" s="396"/>
      <c r="I174" s="399">
        <v>120</v>
      </c>
      <c r="J174" s="399">
        <v>100</v>
      </c>
      <c r="K174" s="399">
        <v>120</v>
      </c>
      <c r="L174" s="364">
        <v>387</v>
      </c>
      <c r="Q174" s="385"/>
    </row>
    <row r="175" spans="1:17" ht="13.5" thickBot="1">
      <c r="A175" s="400" t="s">
        <v>201</v>
      </c>
      <c r="B175" s="298" t="s">
        <v>40</v>
      </c>
      <c r="C175" s="298"/>
      <c r="D175" s="298"/>
      <c r="E175" s="407"/>
      <c r="F175" s="408"/>
      <c r="G175" s="409"/>
      <c r="H175" s="409"/>
      <c r="I175" s="299">
        <f>I176</f>
        <v>2689</v>
      </c>
      <c r="J175" s="299">
        <f>J176</f>
        <v>1456</v>
      </c>
      <c r="K175" s="299">
        <f>K176</f>
        <v>2689</v>
      </c>
      <c r="L175" s="300">
        <f>L176+L183</f>
        <v>12983</v>
      </c>
      <c r="Q175" s="385"/>
    </row>
    <row r="176" spans="1:17" ht="12.75">
      <c r="A176" s="388" t="s">
        <v>54</v>
      </c>
      <c r="B176" s="351" t="s">
        <v>55</v>
      </c>
      <c r="C176" s="351"/>
      <c r="D176" s="351"/>
      <c r="E176" s="410"/>
      <c r="F176" s="411"/>
      <c r="G176" s="412"/>
      <c r="H176" s="412"/>
      <c r="I176" s="372">
        <f>I177+I183</f>
        <v>2689</v>
      </c>
      <c r="J176" s="372">
        <f>J177+J183</f>
        <v>1456</v>
      </c>
      <c r="K176" s="372">
        <f>K177+K183</f>
        <v>2689</v>
      </c>
      <c r="L176" s="374">
        <f>L177+L180</f>
        <v>4159.2</v>
      </c>
      <c r="Q176" s="385"/>
    </row>
    <row r="177" spans="1:17" ht="62.25" customHeight="1">
      <c r="A177" s="398" t="s">
        <v>358</v>
      </c>
      <c r="B177" s="276" t="s">
        <v>55</v>
      </c>
      <c r="C177" s="276" t="s">
        <v>397</v>
      </c>
      <c r="D177" s="276"/>
      <c r="E177" s="311"/>
      <c r="F177" s="312"/>
      <c r="G177" s="313"/>
      <c r="H177" s="313"/>
      <c r="I177" s="279">
        <f>I179</f>
        <v>1918</v>
      </c>
      <c r="J177" s="279">
        <f>J179</f>
        <v>1097.9</v>
      </c>
      <c r="K177" s="279">
        <f>K179</f>
        <v>1918</v>
      </c>
      <c r="L177" s="280">
        <f>L179</f>
        <v>2173.9</v>
      </c>
      <c r="Q177" s="385"/>
    </row>
    <row r="178" spans="1:17" ht="31.5" customHeight="1">
      <c r="A178" s="360" t="s">
        <v>309</v>
      </c>
      <c r="B178" s="240" t="s">
        <v>55</v>
      </c>
      <c r="C178" s="240" t="s">
        <v>397</v>
      </c>
      <c r="D178" s="240" t="s">
        <v>308</v>
      </c>
      <c r="E178" s="259"/>
      <c r="F178" s="260"/>
      <c r="G178" s="261"/>
      <c r="H178" s="261"/>
      <c r="I178" s="242">
        <f>1909+9</f>
        <v>1918</v>
      </c>
      <c r="J178" s="242">
        <v>1097.9</v>
      </c>
      <c r="K178" s="242">
        <v>1918</v>
      </c>
      <c r="L178" s="258">
        <f>L179</f>
        <v>2173.9</v>
      </c>
      <c r="Q178" s="385"/>
    </row>
    <row r="179" spans="1:17" ht="25.5" customHeight="1">
      <c r="A179" s="238" t="s">
        <v>287</v>
      </c>
      <c r="B179" s="240" t="s">
        <v>55</v>
      </c>
      <c r="C179" s="240" t="s">
        <v>397</v>
      </c>
      <c r="D179" s="240" t="s">
        <v>242</v>
      </c>
      <c r="E179" s="259"/>
      <c r="F179" s="260"/>
      <c r="G179" s="261"/>
      <c r="H179" s="261"/>
      <c r="I179" s="242">
        <f>1909+9</f>
        <v>1918</v>
      </c>
      <c r="J179" s="242">
        <v>1097.9</v>
      </c>
      <c r="K179" s="242">
        <v>1918</v>
      </c>
      <c r="L179" s="258">
        <v>2173.9</v>
      </c>
      <c r="Q179" s="385"/>
    </row>
    <row r="180" spans="1:17" ht="25.5" customHeight="1">
      <c r="A180" s="281" t="s">
        <v>444</v>
      </c>
      <c r="B180" s="277" t="s">
        <v>55</v>
      </c>
      <c r="C180" s="277" t="s">
        <v>445</v>
      </c>
      <c r="D180" s="240"/>
      <c r="E180" s="259"/>
      <c r="F180" s="260"/>
      <c r="G180" s="261"/>
      <c r="H180" s="261"/>
      <c r="I180" s="242"/>
      <c r="J180" s="242"/>
      <c r="K180" s="242"/>
      <c r="L180" s="315">
        <f>L181</f>
        <v>1985.3</v>
      </c>
      <c r="Q180" s="385"/>
    </row>
    <row r="181" spans="1:17" ht="25.5" customHeight="1">
      <c r="A181" s="360" t="s">
        <v>309</v>
      </c>
      <c r="B181" s="240" t="s">
        <v>55</v>
      </c>
      <c r="C181" s="240" t="s">
        <v>445</v>
      </c>
      <c r="D181" s="240" t="s">
        <v>308</v>
      </c>
      <c r="E181" s="259"/>
      <c r="F181" s="260"/>
      <c r="G181" s="261"/>
      <c r="H181" s="261"/>
      <c r="I181" s="242"/>
      <c r="J181" s="242"/>
      <c r="K181" s="242"/>
      <c r="L181" s="258">
        <v>1985.3</v>
      </c>
      <c r="Q181" s="385"/>
    </row>
    <row r="182" spans="1:17" ht="25.5" customHeight="1">
      <c r="A182" s="238" t="s">
        <v>287</v>
      </c>
      <c r="B182" s="240" t="s">
        <v>55</v>
      </c>
      <c r="C182" s="240" t="s">
        <v>445</v>
      </c>
      <c r="D182" s="240" t="s">
        <v>242</v>
      </c>
      <c r="E182" s="259"/>
      <c r="F182" s="260"/>
      <c r="G182" s="261"/>
      <c r="H182" s="261"/>
      <c r="I182" s="242"/>
      <c r="J182" s="242"/>
      <c r="K182" s="242"/>
      <c r="L182" s="258">
        <v>1985.3</v>
      </c>
      <c r="Q182" s="385"/>
    </row>
    <row r="183" spans="1:17" ht="15.75" customHeight="1">
      <c r="A183" s="392" t="s">
        <v>288</v>
      </c>
      <c r="B183" s="277" t="s">
        <v>254</v>
      </c>
      <c r="C183" s="277"/>
      <c r="D183" s="277"/>
      <c r="E183" s="311"/>
      <c r="F183" s="312"/>
      <c r="G183" s="313"/>
      <c r="H183" s="313"/>
      <c r="I183" s="283">
        <f>I186</f>
        <v>771</v>
      </c>
      <c r="J183" s="283">
        <f>J186</f>
        <v>358.1</v>
      </c>
      <c r="K183" s="283">
        <f>K186</f>
        <v>771</v>
      </c>
      <c r="L183" s="284">
        <f>L184+L187</f>
        <v>8823.8</v>
      </c>
      <c r="Q183" s="385"/>
    </row>
    <row r="184" spans="1:17" ht="27" customHeight="1">
      <c r="A184" s="393" t="s">
        <v>359</v>
      </c>
      <c r="B184" s="308" t="s">
        <v>254</v>
      </c>
      <c r="C184" s="277" t="s">
        <v>398</v>
      </c>
      <c r="D184" s="308"/>
      <c r="E184" s="311"/>
      <c r="F184" s="312"/>
      <c r="G184" s="313"/>
      <c r="H184" s="313"/>
      <c r="I184" s="314"/>
      <c r="J184" s="314"/>
      <c r="K184" s="314"/>
      <c r="L184" s="315">
        <f>L185</f>
        <v>503</v>
      </c>
      <c r="Q184" s="385"/>
    </row>
    <row r="185" spans="1:17" ht="30" customHeight="1">
      <c r="A185" s="360" t="s">
        <v>309</v>
      </c>
      <c r="B185" s="253" t="s">
        <v>254</v>
      </c>
      <c r="C185" s="240" t="s">
        <v>398</v>
      </c>
      <c r="D185" s="240" t="s">
        <v>308</v>
      </c>
      <c r="E185" s="259"/>
      <c r="F185" s="260"/>
      <c r="G185" s="261"/>
      <c r="H185" s="261"/>
      <c r="I185" s="257">
        <f>736+35</f>
        <v>771</v>
      </c>
      <c r="J185" s="257">
        <v>358.1</v>
      </c>
      <c r="K185" s="257">
        <v>771</v>
      </c>
      <c r="L185" s="258">
        <f>L186</f>
        <v>503</v>
      </c>
      <c r="Q185" s="385"/>
    </row>
    <row r="186" spans="1:17" ht="27" customHeight="1">
      <c r="A186" s="238" t="s">
        <v>287</v>
      </c>
      <c r="B186" s="253" t="s">
        <v>254</v>
      </c>
      <c r="C186" s="240" t="s">
        <v>398</v>
      </c>
      <c r="D186" s="240" t="s">
        <v>242</v>
      </c>
      <c r="E186" s="259"/>
      <c r="F186" s="260"/>
      <c r="G186" s="261"/>
      <c r="H186" s="261"/>
      <c r="I186" s="257">
        <f>736+35</f>
        <v>771</v>
      </c>
      <c r="J186" s="257">
        <v>358.1</v>
      </c>
      <c r="K186" s="250">
        <v>771</v>
      </c>
      <c r="L186" s="245">
        <v>503</v>
      </c>
      <c r="Q186" s="385"/>
    </row>
    <row r="187" spans="1:17" ht="27" customHeight="1">
      <c r="A187" s="281" t="s">
        <v>444</v>
      </c>
      <c r="B187" s="308" t="s">
        <v>254</v>
      </c>
      <c r="C187" s="277" t="s">
        <v>445</v>
      </c>
      <c r="D187" s="253"/>
      <c r="E187" s="259"/>
      <c r="F187" s="260"/>
      <c r="G187" s="261"/>
      <c r="H187" s="261"/>
      <c r="I187" s="250"/>
      <c r="J187" s="257"/>
      <c r="K187" s="250"/>
      <c r="L187" s="315">
        <f>L188+L190+L192</f>
        <v>8320.8</v>
      </c>
      <c r="Q187" s="385"/>
    </row>
    <row r="188" spans="1:17" ht="27" customHeight="1">
      <c r="A188" s="238" t="s">
        <v>443</v>
      </c>
      <c r="B188" s="240" t="s">
        <v>254</v>
      </c>
      <c r="C188" s="240" t="s">
        <v>445</v>
      </c>
      <c r="D188" s="240" t="s">
        <v>302</v>
      </c>
      <c r="E188" s="259"/>
      <c r="F188" s="260"/>
      <c r="G188" s="261"/>
      <c r="H188" s="261"/>
      <c r="I188" s="332"/>
      <c r="J188" s="332"/>
      <c r="K188" s="333"/>
      <c r="L188" s="245">
        <f>L189</f>
        <v>7288.2</v>
      </c>
      <c r="Q188" s="385"/>
    </row>
    <row r="189" spans="1:17" ht="27" customHeight="1">
      <c r="A189" s="365" t="s">
        <v>443</v>
      </c>
      <c r="B189" s="240" t="s">
        <v>254</v>
      </c>
      <c r="C189" s="240" t="s">
        <v>445</v>
      </c>
      <c r="D189" s="240" t="s">
        <v>303</v>
      </c>
      <c r="E189" s="259"/>
      <c r="F189" s="260"/>
      <c r="G189" s="261"/>
      <c r="H189" s="261"/>
      <c r="I189" s="332"/>
      <c r="J189" s="332"/>
      <c r="K189" s="333"/>
      <c r="L189" s="245">
        <v>7288.2</v>
      </c>
      <c r="Q189" s="385"/>
    </row>
    <row r="190" spans="1:17" ht="27" customHeight="1">
      <c r="A190" s="360" t="s">
        <v>309</v>
      </c>
      <c r="B190" s="253" t="s">
        <v>254</v>
      </c>
      <c r="C190" s="253" t="s">
        <v>445</v>
      </c>
      <c r="D190" s="253" t="s">
        <v>308</v>
      </c>
      <c r="E190" s="344"/>
      <c r="F190" s="345"/>
      <c r="G190" s="346"/>
      <c r="H190" s="346"/>
      <c r="I190" s="241"/>
      <c r="J190" s="241"/>
      <c r="K190" s="241"/>
      <c r="L190" s="245">
        <f>L191</f>
        <v>1027.6</v>
      </c>
      <c r="Q190" s="385"/>
    </row>
    <row r="191" spans="1:17" ht="27" customHeight="1">
      <c r="A191" s="238" t="s">
        <v>287</v>
      </c>
      <c r="B191" s="240" t="s">
        <v>254</v>
      </c>
      <c r="C191" s="240" t="s">
        <v>445</v>
      </c>
      <c r="D191" s="240" t="s">
        <v>242</v>
      </c>
      <c r="E191" s="344"/>
      <c r="F191" s="345"/>
      <c r="G191" s="346"/>
      <c r="H191" s="346"/>
      <c r="I191" s="241"/>
      <c r="J191" s="241"/>
      <c r="K191" s="241"/>
      <c r="L191" s="245">
        <v>1027.6</v>
      </c>
      <c r="Q191" s="385"/>
    </row>
    <row r="192" spans="1:17" ht="12.75">
      <c r="A192" s="238" t="s">
        <v>448</v>
      </c>
      <c r="B192" s="240" t="s">
        <v>254</v>
      </c>
      <c r="C192" s="240" t="s">
        <v>445</v>
      </c>
      <c r="D192" s="240" t="s">
        <v>310</v>
      </c>
      <c r="E192" s="344"/>
      <c r="F192" s="345"/>
      <c r="G192" s="346"/>
      <c r="H192" s="346"/>
      <c r="I192" s="241"/>
      <c r="J192" s="241"/>
      <c r="K192" s="241"/>
      <c r="L192" s="245">
        <v>5</v>
      </c>
      <c r="Q192" s="385"/>
    </row>
    <row r="193" spans="1:17" ht="20.25" customHeight="1" thickBot="1">
      <c r="A193" s="361" t="s">
        <v>449</v>
      </c>
      <c r="B193" s="362" t="s">
        <v>254</v>
      </c>
      <c r="C193" s="362" t="s">
        <v>445</v>
      </c>
      <c r="D193" s="447" t="s">
        <v>312</v>
      </c>
      <c r="E193" s="439"/>
      <c r="F193" s="440"/>
      <c r="G193" s="441"/>
      <c r="H193" s="441"/>
      <c r="I193" s="363"/>
      <c r="J193" s="363"/>
      <c r="K193" s="363"/>
      <c r="L193" s="245">
        <f>'[3]Вед. 2020 (прил 4)'!N186</f>
        <v>5</v>
      </c>
      <c r="Q193" s="385"/>
    </row>
    <row r="194" spans="1:17" ht="34.5" customHeight="1" hidden="1">
      <c r="A194" s="400" t="s">
        <v>51</v>
      </c>
      <c r="B194" s="298">
        <v>1000</v>
      </c>
      <c r="C194" s="298"/>
      <c r="D194" s="298"/>
      <c r="E194" s="407"/>
      <c r="F194" s="408"/>
      <c r="G194" s="409"/>
      <c r="H194" s="409"/>
      <c r="I194" s="299" t="e">
        <f>I203+I195</f>
        <v>#REF!</v>
      </c>
      <c r="J194" s="299" t="e">
        <f>J203+J195</f>
        <v>#REF!</v>
      </c>
      <c r="K194" s="299" t="e">
        <f>K203+K195</f>
        <v>#REF!</v>
      </c>
      <c r="L194" s="300">
        <f>L196+L200+L203</f>
        <v>1307.5</v>
      </c>
      <c r="Q194" s="385"/>
    </row>
    <row r="195" spans="1:17" ht="15.75" customHeight="1" hidden="1">
      <c r="A195" s="275" t="s">
        <v>214</v>
      </c>
      <c r="B195" s="276" t="s">
        <v>213</v>
      </c>
      <c r="C195" s="276"/>
      <c r="D195" s="276"/>
      <c r="E195" s="404"/>
      <c r="F195" s="405"/>
      <c r="G195" s="406"/>
      <c r="H195" s="406"/>
      <c r="I195" s="285">
        <f>I200</f>
        <v>172.4</v>
      </c>
      <c r="J195" s="285">
        <f>J200</f>
        <v>114.9</v>
      </c>
      <c r="K195" s="285">
        <f>K200</f>
        <v>172.4</v>
      </c>
      <c r="L195" s="280">
        <f>L200+L197</f>
        <v>343.5</v>
      </c>
      <c r="Q195" s="385"/>
    </row>
    <row r="196" spans="1:17" ht="24" customHeight="1" hidden="1">
      <c r="A196" s="282" t="s">
        <v>423</v>
      </c>
      <c r="B196" s="277" t="s">
        <v>213</v>
      </c>
      <c r="C196" s="277" t="s">
        <v>424</v>
      </c>
      <c r="D196" s="277"/>
      <c r="E196" s="344"/>
      <c r="F196" s="345"/>
      <c r="G196" s="346"/>
      <c r="H196" s="346"/>
      <c r="I196" s="278"/>
      <c r="J196" s="278"/>
      <c r="K196" s="278"/>
      <c r="L196" s="284">
        <f>L197</f>
        <v>0</v>
      </c>
      <c r="Q196" s="385"/>
    </row>
    <row r="197" spans="1:17" ht="42.75" customHeight="1" hidden="1">
      <c r="A197" s="282" t="s">
        <v>425</v>
      </c>
      <c r="B197" s="240" t="s">
        <v>213</v>
      </c>
      <c r="C197" s="240" t="s">
        <v>424</v>
      </c>
      <c r="D197" s="240" t="s">
        <v>314</v>
      </c>
      <c r="E197" s="344"/>
      <c r="F197" s="345"/>
      <c r="G197" s="346"/>
      <c r="H197" s="346"/>
      <c r="I197" s="241"/>
      <c r="J197" s="241"/>
      <c r="K197" s="241"/>
      <c r="L197" s="245">
        <f>L198</f>
        <v>0</v>
      </c>
      <c r="Q197" s="385"/>
    </row>
    <row r="198" spans="1:17" ht="25.5" customHeight="1" hidden="1">
      <c r="A198" s="239" t="s">
        <v>423</v>
      </c>
      <c r="B198" s="240" t="s">
        <v>213</v>
      </c>
      <c r="C198" s="240" t="s">
        <v>424</v>
      </c>
      <c r="D198" s="240" t="s">
        <v>315</v>
      </c>
      <c r="E198" s="344"/>
      <c r="F198" s="345"/>
      <c r="G198" s="346"/>
      <c r="H198" s="346"/>
      <c r="I198" s="241"/>
      <c r="J198" s="241"/>
      <c r="K198" s="241"/>
      <c r="L198" s="245">
        <f>'[3]Вед. 2020 (прил 4)'!N190</f>
        <v>0</v>
      </c>
      <c r="Q198" s="385"/>
    </row>
    <row r="199" spans="1:17" ht="25.5" customHeight="1">
      <c r="A199" s="282" t="s">
        <v>425</v>
      </c>
      <c r="B199" s="240" t="s">
        <v>213</v>
      </c>
      <c r="C199" s="240" t="s">
        <v>399</v>
      </c>
      <c r="D199" s="240" t="s">
        <v>314</v>
      </c>
      <c r="E199" s="259"/>
      <c r="F199" s="260"/>
      <c r="G199" s="261"/>
      <c r="H199" s="261"/>
      <c r="I199" s="294"/>
      <c r="J199" s="294"/>
      <c r="K199" s="294"/>
      <c r="L199" s="280">
        <f>L202</f>
        <v>343.5</v>
      </c>
      <c r="Q199" s="385"/>
    </row>
    <row r="200" spans="1:17" ht="33.75" customHeight="1">
      <c r="A200" s="442" t="s">
        <v>215</v>
      </c>
      <c r="B200" s="443" t="s">
        <v>213</v>
      </c>
      <c r="C200" s="339" t="s">
        <v>399</v>
      </c>
      <c r="D200" s="443"/>
      <c r="E200" s="311"/>
      <c r="F200" s="312"/>
      <c r="G200" s="313"/>
      <c r="H200" s="313"/>
      <c r="I200" s="279">
        <f>I202</f>
        <v>172.4</v>
      </c>
      <c r="J200" s="279">
        <f>J202</f>
        <v>114.9</v>
      </c>
      <c r="K200" s="279">
        <f>K202</f>
        <v>172.4</v>
      </c>
      <c r="L200" s="256">
        <f>L202</f>
        <v>343.5</v>
      </c>
      <c r="Q200" s="385"/>
    </row>
    <row r="201" spans="1:17" ht="25.5" customHeight="1">
      <c r="A201" s="433" t="s">
        <v>316</v>
      </c>
      <c r="B201" s="335" t="s">
        <v>213</v>
      </c>
      <c r="C201" s="253" t="s">
        <v>399</v>
      </c>
      <c r="D201" s="335" t="s">
        <v>314</v>
      </c>
      <c r="E201" s="259"/>
      <c r="F201" s="260"/>
      <c r="G201" s="261"/>
      <c r="H201" s="261"/>
      <c r="I201" s="242">
        <v>172.4</v>
      </c>
      <c r="J201" s="242">
        <v>114.9</v>
      </c>
      <c r="K201" s="242">
        <v>172.4</v>
      </c>
      <c r="L201" s="245">
        <f>L202</f>
        <v>343.5</v>
      </c>
      <c r="Q201" s="385"/>
    </row>
    <row r="202" spans="1:17" ht="27" customHeight="1">
      <c r="A202" s="433" t="s">
        <v>317</v>
      </c>
      <c r="B202" s="335" t="s">
        <v>213</v>
      </c>
      <c r="C202" s="253" t="s">
        <v>399</v>
      </c>
      <c r="D202" s="335" t="s">
        <v>315</v>
      </c>
      <c r="E202" s="259"/>
      <c r="F202" s="260"/>
      <c r="G202" s="261"/>
      <c r="H202" s="261"/>
      <c r="I202" s="242">
        <v>172.4</v>
      </c>
      <c r="J202" s="242">
        <v>114.9</v>
      </c>
      <c r="K202" s="242">
        <v>172.4</v>
      </c>
      <c r="L202" s="245">
        <v>343.5</v>
      </c>
      <c r="Q202" s="385"/>
    </row>
    <row r="203" spans="1:17" ht="21.75" customHeight="1">
      <c r="A203" s="286" t="s">
        <v>170</v>
      </c>
      <c r="B203" s="277" t="s">
        <v>56</v>
      </c>
      <c r="C203" s="277"/>
      <c r="D203" s="277"/>
      <c r="E203" s="259"/>
      <c r="F203" s="260"/>
      <c r="G203" s="261"/>
      <c r="H203" s="261"/>
      <c r="I203" s="283" t="e">
        <f>#REF!+#REF!+I204</f>
        <v>#REF!</v>
      </c>
      <c r="J203" s="283" t="e">
        <f>#REF!+#REF!+J204</f>
        <v>#REF!</v>
      </c>
      <c r="K203" s="283" t="e">
        <f>#REF!+#REF!+K204</f>
        <v>#REF!</v>
      </c>
      <c r="L203" s="284">
        <f>L204</f>
        <v>964</v>
      </c>
      <c r="Q203" s="385"/>
    </row>
    <row r="204" spans="1:18" ht="25.5" customHeight="1">
      <c r="A204" s="286" t="s">
        <v>413</v>
      </c>
      <c r="B204" s="277" t="s">
        <v>56</v>
      </c>
      <c r="C204" s="277" t="s">
        <v>414</v>
      </c>
      <c r="D204" s="277"/>
      <c r="E204" s="259"/>
      <c r="F204" s="260"/>
      <c r="G204" s="261"/>
      <c r="H204" s="261"/>
      <c r="I204" s="444">
        <f>I206</f>
        <v>602.4</v>
      </c>
      <c r="J204" s="444">
        <f>J206</f>
        <v>229.4</v>
      </c>
      <c r="K204" s="444">
        <f>K206</f>
        <v>344.1</v>
      </c>
      <c r="L204" s="445">
        <f>L206</f>
        <v>964</v>
      </c>
      <c r="Q204" s="385"/>
      <c r="R204" s="489" t="s">
        <v>495</v>
      </c>
    </row>
    <row r="205" spans="1:17" ht="19.5" customHeight="1">
      <c r="A205" s="433" t="s">
        <v>316</v>
      </c>
      <c r="B205" s="240" t="s">
        <v>56</v>
      </c>
      <c r="C205" s="240" t="s">
        <v>414</v>
      </c>
      <c r="D205" s="240" t="s">
        <v>314</v>
      </c>
      <c r="E205" s="259"/>
      <c r="F205" s="260"/>
      <c r="G205" s="261"/>
      <c r="H205" s="261"/>
      <c r="I205" s="242">
        <v>602.4</v>
      </c>
      <c r="J205" s="242">
        <v>229.4</v>
      </c>
      <c r="K205" s="242">
        <v>344.1</v>
      </c>
      <c r="L205" s="245">
        <f>L206</f>
        <v>964</v>
      </c>
      <c r="Q205" s="385"/>
    </row>
    <row r="206" spans="1:17" ht="27.75" customHeight="1" thickBot="1">
      <c r="A206" s="433" t="s">
        <v>317</v>
      </c>
      <c r="B206" s="240" t="s">
        <v>56</v>
      </c>
      <c r="C206" s="240" t="s">
        <v>414</v>
      </c>
      <c r="D206" s="240" t="s">
        <v>315</v>
      </c>
      <c r="E206" s="259"/>
      <c r="F206" s="260"/>
      <c r="G206" s="261"/>
      <c r="H206" s="261"/>
      <c r="I206" s="242">
        <v>602.4</v>
      </c>
      <c r="J206" s="242">
        <v>229.4</v>
      </c>
      <c r="K206" s="242">
        <v>344.1</v>
      </c>
      <c r="L206" s="245">
        <v>964</v>
      </c>
      <c r="Q206" s="385"/>
    </row>
    <row r="207" spans="1:17" ht="68.25" customHeight="1" hidden="1">
      <c r="A207" s="340" t="s">
        <v>169</v>
      </c>
      <c r="B207" s="341" t="s">
        <v>180</v>
      </c>
      <c r="C207" s="341"/>
      <c r="D207" s="341"/>
      <c r="E207" s="259"/>
      <c r="F207" s="260"/>
      <c r="G207" s="261"/>
      <c r="H207" s="261"/>
      <c r="I207" s="342">
        <f aca="true" t="shared" si="17" ref="I207:L208">I208</f>
        <v>653</v>
      </c>
      <c r="J207" s="342">
        <f t="shared" si="17"/>
        <v>424.3</v>
      </c>
      <c r="K207" s="342">
        <f t="shared" si="17"/>
        <v>653</v>
      </c>
      <c r="L207" s="343">
        <f t="shared" si="17"/>
        <v>1964.32</v>
      </c>
      <c r="Q207" s="385"/>
    </row>
    <row r="208" spans="1:17" ht="24.75" customHeight="1" hidden="1">
      <c r="A208" s="388" t="s">
        <v>181</v>
      </c>
      <c r="B208" s="351" t="s">
        <v>179</v>
      </c>
      <c r="C208" s="351"/>
      <c r="D208" s="351"/>
      <c r="E208" s="389"/>
      <c r="F208" s="390"/>
      <c r="G208" s="391"/>
      <c r="H208" s="391"/>
      <c r="I208" s="373">
        <f t="shared" si="17"/>
        <v>653</v>
      </c>
      <c r="J208" s="373">
        <f t="shared" si="17"/>
        <v>424.3</v>
      </c>
      <c r="K208" s="373">
        <f t="shared" si="17"/>
        <v>653</v>
      </c>
      <c r="L208" s="374">
        <v>1964.32</v>
      </c>
      <c r="Q208" s="385"/>
    </row>
    <row r="209" spans="1:17" ht="24.75" customHeight="1" hidden="1">
      <c r="A209" s="392" t="s">
        <v>344</v>
      </c>
      <c r="B209" s="277" t="s">
        <v>179</v>
      </c>
      <c r="C209" s="308" t="s">
        <v>400</v>
      </c>
      <c r="D209" s="240"/>
      <c r="E209" s="259"/>
      <c r="F209" s="260"/>
      <c r="G209" s="261"/>
      <c r="H209" s="261"/>
      <c r="I209" s="242">
        <f>I214</f>
        <v>653</v>
      </c>
      <c r="J209" s="242">
        <f>J214</f>
        <v>424.3</v>
      </c>
      <c r="K209" s="242">
        <f>K214</f>
        <v>653</v>
      </c>
      <c r="L209" s="245">
        <v>1370.5</v>
      </c>
      <c r="Q209" s="385"/>
    </row>
    <row r="210" spans="1:17" ht="24.75" customHeight="1" thickBot="1">
      <c r="A210" s="340" t="s">
        <v>169</v>
      </c>
      <c r="B210" s="341" t="s">
        <v>180</v>
      </c>
      <c r="C210" s="341"/>
      <c r="D210" s="341"/>
      <c r="E210" s="259"/>
      <c r="F210" s="260"/>
      <c r="G210" s="261"/>
      <c r="H210" s="261"/>
      <c r="I210" s="342">
        <f>I211</f>
        <v>653</v>
      </c>
      <c r="J210" s="342">
        <f>J211</f>
        <v>424.3</v>
      </c>
      <c r="K210" s="342">
        <f>K211</f>
        <v>653</v>
      </c>
      <c r="L210" s="343">
        <f>L211</f>
        <v>2205.1000000000004</v>
      </c>
      <c r="Q210" s="385"/>
    </row>
    <row r="211" spans="1:17" ht="24.75" customHeight="1">
      <c r="A211" s="388" t="s">
        <v>181</v>
      </c>
      <c r="B211" s="351" t="s">
        <v>179</v>
      </c>
      <c r="C211" s="351"/>
      <c r="D211" s="351"/>
      <c r="E211" s="389"/>
      <c r="F211" s="390"/>
      <c r="G211" s="391"/>
      <c r="H211" s="391"/>
      <c r="I211" s="373">
        <f aca="true" t="shared" si="18" ref="I211:K212">I214</f>
        <v>653</v>
      </c>
      <c r="J211" s="373">
        <f t="shared" si="18"/>
        <v>424.3</v>
      </c>
      <c r="K211" s="373">
        <f t="shared" si="18"/>
        <v>653</v>
      </c>
      <c r="L211" s="374">
        <f>L214+L217</f>
        <v>2205.1000000000004</v>
      </c>
      <c r="Q211" s="385"/>
    </row>
    <row r="212" spans="1:17" ht="59.25" customHeight="1">
      <c r="A212" s="310" t="s">
        <v>344</v>
      </c>
      <c r="B212" s="240" t="s">
        <v>179</v>
      </c>
      <c r="C212" s="308" t="s">
        <v>400</v>
      </c>
      <c r="D212" s="240"/>
      <c r="E212" s="259"/>
      <c r="F212" s="260"/>
      <c r="G212" s="261"/>
      <c r="H212" s="261"/>
      <c r="I212" s="242">
        <f t="shared" si="18"/>
        <v>0</v>
      </c>
      <c r="J212" s="242">
        <f t="shared" si="18"/>
        <v>0</v>
      </c>
      <c r="K212" s="242">
        <f t="shared" si="18"/>
        <v>0</v>
      </c>
      <c r="L212" s="245">
        <f>L213</f>
        <v>570.2</v>
      </c>
      <c r="Q212" s="385"/>
    </row>
    <row r="213" spans="1:17" ht="41.25" customHeight="1">
      <c r="A213" s="334" t="s">
        <v>309</v>
      </c>
      <c r="B213" s="253" t="s">
        <v>179</v>
      </c>
      <c r="C213" s="253" t="s">
        <v>400</v>
      </c>
      <c r="D213" s="253" t="s">
        <v>308</v>
      </c>
      <c r="E213" s="259"/>
      <c r="F213" s="260"/>
      <c r="G213" s="261"/>
      <c r="H213" s="261"/>
      <c r="I213" s="257"/>
      <c r="J213" s="257"/>
      <c r="K213" s="257"/>
      <c r="L213" s="258">
        <f>L214</f>
        <v>570.2</v>
      </c>
      <c r="Q213" s="385"/>
    </row>
    <row r="214" spans="1:17" ht="24.75" customHeight="1">
      <c r="A214" s="238" t="s">
        <v>287</v>
      </c>
      <c r="B214" s="253" t="s">
        <v>179</v>
      </c>
      <c r="C214" s="253" t="s">
        <v>400</v>
      </c>
      <c r="D214" s="253" t="s">
        <v>242</v>
      </c>
      <c r="E214" s="259"/>
      <c r="F214" s="260"/>
      <c r="G214" s="261"/>
      <c r="H214" s="261"/>
      <c r="I214" s="257">
        <f>697-44</f>
        <v>653</v>
      </c>
      <c r="J214" s="257">
        <v>424.3</v>
      </c>
      <c r="K214" s="257">
        <v>653</v>
      </c>
      <c r="L214" s="258">
        <v>570.2</v>
      </c>
      <c r="M214" s="386">
        <f>M215</f>
        <v>116</v>
      </c>
      <c r="Q214" s="385"/>
    </row>
    <row r="215" spans="1:17" ht="24.75" customHeight="1">
      <c r="A215" s="281" t="s">
        <v>444</v>
      </c>
      <c r="B215" s="308" t="s">
        <v>179</v>
      </c>
      <c r="C215" s="277" t="s">
        <v>445</v>
      </c>
      <c r="D215" s="253"/>
      <c r="E215" s="259"/>
      <c r="F215" s="260"/>
      <c r="G215" s="261"/>
      <c r="H215" s="261"/>
      <c r="I215" s="250"/>
      <c r="J215" s="257"/>
      <c r="K215" s="250"/>
      <c r="L215" s="315">
        <f>L216+L218</f>
        <v>1634.9</v>
      </c>
      <c r="M215" s="386">
        <v>116</v>
      </c>
      <c r="Q215" s="385"/>
    </row>
    <row r="216" spans="1:17" ht="24.75" customHeight="1">
      <c r="A216" s="238" t="s">
        <v>443</v>
      </c>
      <c r="B216" s="240" t="s">
        <v>179</v>
      </c>
      <c r="C216" s="240" t="s">
        <v>445</v>
      </c>
      <c r="D216" s="240" t="s">
        <v>302</v>
      </c>
      <c r="E216" s="240" t="s">
        <v>302</v>
      </c>
      <c r="F216" s="246" t="s">
        <v>86</v>
      </c>
      <c r="G216" s="247" t="e">
        <f>G217</f>
        <v>#REF!</v>
      </c>
      <c r="H216" s="247">
        <f>H217</f>
        <v>0</v>
      </c>
      <c r="I216" s="247" t="str">
        <f>I217</f>
        <v>12,7</v>
      </c>
      <c r="J216" s="242">
        <v>8250.9</v>
      </c>
      <c r="K216" s="247">
        <v>5168.5</v>
      </c>
      <c r="L216" s="446">
        <f>L217</f>
        <v>1634.9</v>
      </c>
      <c r="M216" s="387">
        <f>M217</f>
        <v>62.52</v>
      </c>
      <c r="Q216" s="385"/>
    </row>
    <row r="217" spans="1:17" ht="24.75" customHeight="1">
      <c r="A217" s="238" t="s">
        <v>443</v>
      </c>
      <c r="B217" s="240" t="s">
        <v>179</v>
      </c>
      <c r="C217" s="240" t="s">
        <v>445</v>
      </c>
      <c r="D217" s="240" t="s">
        <v>303</v>
      </c>
      <c r="E217" s="240" t="s">
        <v>303</v>
      </c>
      <c r="F217" s="246" t="s">
        <v>86</v>
      </c>
      <c r="G217" s="247" t="e">
        <f>G219</f>
        <v>#REF!</v>
      </c>
      <c r="H217" s="247">
        <f>H219</f>
        <v>0</v>
      </c>
      <c r="I217" s="247" t="str">
        <f>I219</f>
        <v>12,7</v>
      </c>
      <c r="J217" s="242">
        <v>8250.9</v>
      </c>
      <c r="K217" s="247">
        <v>5168.5</v>
      </c>
      <c r="L217" s="446">
        <v>1634.9</v>
      </c>
      <c r="M217" s="387">
        <v>62.52</v>
      </c>
      <c r="Q217" s="385"/>
    </row>
    <row r="218" spans="1:17" ht="60" hidden="1">
      <c r="A218" s="360" t="s">
        <v>309</v>
      </c>
      <c r="B218" s="240" t="s">
        <v>179</v>
      </c>
      <c r="C218" s="240" t="s">
        <v>445</v>
      </c>
      <c r="D218" s="240" t="s">
        <v>308</v>
      </c>
      <c r="E218" s="240" t="s">
        <v>308</v>
      </c>
      <c r="F218" s="246" t="s">
        <v>86</v>
      </c>
      <c r="G218" s="247" t="e">
        <f>'[2]роспись'!G186</f>
        <v>#REF!</v>
      </c>
      <c r="H218" s="247"/>
      <c r="I218" s="247" t="s">
        <v>186</v>
      </c>
      <c r="J218" s="242" t="e">
        <f>J219+#REF!</f>
        <v>#REF!</v>
      </c>
      <c r="K218" s="242" t="e">
        <f>K219+#REF!</f>
        <v>#REF!</v>
      </c>
      <c r="L218" s="242">
        <v>0</v>
      </c>
      <c r="Q218" s="385"/>
    </row>
    <row r="219" spans="1:17" ht="36.75" hidden="1" thickBot="1">
      <c r="A219" s="361" t="s">
        <v>287</v>
      </c>
      <c r="B219" s="362" t="s">
        <v>179</v>
      </c>
      <c r="C219" s="362" t="s">
        <v>445</v>
      </c>
      <c r="D219" s="362" t="s">
        <v>242</v>
      </c>
      <c r="E219" s="362" t="s">
        <v>242</v>
      </c>
      <c r="F219" s="487" t="s">
        <v>86</v>
      </c>
      <c r="G219" s="488" t="e">
        <f>'[2]роспись'!G187</f>
        <v>#REF!</v>
      </c>
      <c r="H219" s="488"/>
      <c r="I219" s="488" t="s">
        <v>186</v>
      </c>
      <c r="J219" s="399" t="e">
        <f>#REF!+#REF!</f>
        <v>#REF!</v>
      </c>
      <c r="K219" s="399" t="e">
        <f>#REF!+#REF!</f>
        <v>#REF!</v>
      </c>
      <c r="L219" s="399">
        <v>0</v>
      </c>
      <c r="Q219" s="385"/>
    </row>
    <row r="220" spans="1:17" ht="27.75" customHeight="1" thickBot="1">
      <c r="A220" s="328" t="s">
        <v>182</v>
      </c>
      <c r="B220" s="329" t="s">
        <v>183</v>
      </c>
      <c r="C220" s="329"/>
      <c r="D220" s="329"/>
      <c r="E220" s="259"/>
      <c r="F220" s="260"/>
      <c r="G220" s="261"/>
      <c r="H220" s="261"/>
      <c r="I220" s="330" t="e">
        <f>I221</f>
        <v>#REF!</v>
      </c>
      <c r="J220" s="330" t="e">
        <f>J221</f>
        <v>#REF!</v>
      </c>
      <c r="K220" s="330" t="e">
        <f>K221</f>
        <v>#REF!</v>
      </c>
      <c r="L220" s="331">
        <f>L221</f>
        <v>750.8</v>
      </c>
      <c r="Q220" s="385"/>
    </row>
    <row r="221" spans="1:17" ht="27" customHeight="1">
      <c r="A221" s="301" t="s">
        <v>185</v>
      </c>
      <c r="B221" s="276" t="s">
        <v>184</v>
      </c>
      <c r="C221" s="276"/>
      <c r="D221" s="276"/>
      <c r="E221" s="311"/>
      <c r="F221" s="312"/>
      <c r="G221" s="313"/>
      <c r="H221" s="313"/>
      <c r="I221" s="279" t="e">
        <f>I222+#REF!</f>
        <v>#REF!</v>
      </c>
      <c r="J221" s="279" t="e">
        <f>J222+#REF!</f>
        <v>#REF!</v>
      </c>
      <c r="K221" s="279" t="e">
        <f>K222+#REF!</f>
        <v>#REF!</v>
      </c>
      <c r="L221" s="280">
        <f>L222</f>
        <v>750.8</v>
      </c>
      <c r="Q221" s="385"/>
    </row>
    <row r="222" spans="1:17" ht="29.25" customHeight="1">
      <c r="A222" s="310" t="s">
        <v>256</v>
      </c>
      <c r="B222" s="277" t="s">
        <v>184</v>
      </c>
      <c r="C222" s="277" t="s">
        <v>401</v>
      </c>
      <c r="D222" s="277"/>
      <c r="E222" s="311"/>
      <c r="F222" s="312"/>
      <c r="G222" s="313"/>
      <c r="H222" s="313"/>
      <c r="I222" s="283">
        <f>I224</f>
        <v>653.9</v>
      </c>
      <c r="J222" s="283">
        <f>J224</f>
        <v>388.9</v>
      </c>
      <c r="K222" s="283">
        <f>K224</f>
        <v>653.9</v>
      </c>
      <c r="L222" s="284">
        <f>L224</f>
        <v>750.8</v>
      </c>
      <c r="Q222" s="385"/>
    </row>
    <row r="223" spans="1:18" ht="43.5" customHeight="1">
      <c r="A223" s="334" t="s">
        <v>309</v>
      </c>
      <c r="B223" s="240" t="s">
        <v>184</v>
      </c>
      <c r="C223" s="240" t="s">
        <v>401</v>
      </c>
      <c r="D223" s="253" t="s">
        <v>308</v>
      </c>
      <c r="E223" s="259"/>
      <c r="F223" s="260"/>
      <c r="G223" s="261"/>
      <c r="H223" s="261"/>
      <c r="I223" s="242">
        <v>653.9</v>
      </c>
      <c r="J223" s="242">
        <v>388.9</v>
      </c>
      <c r="K223" s="242">
        <v>653.9</v>
      </c>
      <c r="L223" s="245">
        <f>L224</f>
        <v>750.8</v>
      </c>
      <c r="R223" s="267"/>
    </row>
    <row r="224" spans="1:12" ht="36.75" thickBot="1">
      <c r="A224" s="239" t="s">
        <v>287</v>
      </c>
      <c r="B224" s="240" t="s">
        <v>184</v>
      </c>
      <c r="C224" s="240" t="s">
        <v>401</v>
      </c>
      <c r="D224" s="253" t="s">
        <v>242</v>
      </c>
      <c r="E224" s="259"/>
      <c r="F224" s="260"/>
      <c r="G224" s="261"/>
      <c r="H224" s="261"/>
      <c r="I224" s="242">
        <v>653.9</v>
      </c>
      <c r="J224" s="242">
        <v>388.9</v>
      </c>
      <c r="K224" s="242">
        <v>653.9</v>
      </c>
      <c r="L224" s="245">
        <v>750.8</v>
      </c>
    </row>
    <row r="225" spans="1:12" ht="15" thickBot="1">
      <c r="A225" s="316" t="s">
        <v>52</v>
      </c>
      <c r="B225" s="317"/>
      <c r="C225" s="317"/>
      <c r="D225" s="317"/>
      <c r="E225" s="262"/>
      <c r="F225" s="263"/>
      <c r="G225" s="264"/>
      <c r="H225" s="264"/>
      <c r="I225" s="318" t="e">
        <f>#REF!+#REF!</f>
        <v>#REF!</v>
      </c>
      <c r="J225" s="318" t="e">
        <f>#REF!+#REF!</f>
        <v>#REF!</v>
      </c>
      <c r="K225" s="318" t="e">
        <f>#REF!+#REF!</f>
        <v>#REF!</v>
      </c>
      <c r="L225" s="319">
        <f>L220+L210+L203+L199+L175+L163+L121+L103+L95+L9</f>
        <v>147588</v>
      </c>
    </row>
    <row r="228" ht="12.75">
      <c r="L228" s="114"/>
    </row>
  </sheetData>
  <sheetProtection/>
  <mergeCells count="2">
    <mergeCell ref="A5:L6"/>
    <mergeCell ref="D4:L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3">
      <selection activeCell="W20" sqref="W20"/>
    </sheetView>
  </sheetViews>
  <sheetFormatPr defaultColWidth="9.140625" defaultRowHeight="12.75"/>
  <cols>
    <col min="1" max="1" width="48.8515625" style="8" customWidth="1"/>
    <col min="2" max="2" width="16.57421875" style="9" customWidth="1"/>
    <col min="3" max="3" width="0.13671875" style="9" hidden="1" customWidth="1"/>
    <col min="4" max="4" width="8.140625" style="10" hidden="1" customWidth="1"/>
    <col min="5" max="5" width="8.00390625" style="0" hidden="1" customWidth="1"/>
    <col min="6" max="6" width="5.140625" style="0" hidden="1" customWidth="1"/>
    <col min="7" max="7" width="11.7109375" style="0" hidden="1" customWidth="1"/>
    <col min="8" max="8" width="11.00390625" style="0" hidden="1" customWidth="1"/>
    <col min="9" max="9" width="12.57421875" style="0" hidden="1" customWidth="1"/>
    <col min="10" max="10" width="17.00390625" style="0" customWidth="1"/>
    <col min="11" max="14" width="0" style="0" hidden="1" customWidth="1"/>
  </cols>
  <sheetData>
    <row r="1" spans="1:10" ht="15.75">
      <c r="A1" s="265"/>
      <c r="B1" s="320"/>
      <c r="C1" s="228"/>
      <c r="D1" s="229"/>
      <c r="E1" s="115"/>
      <c r="F1" s="115"/>
      <c r="G1" s="115"/>
      <c r="H1" s="115"/>
      <c r="I1" s="115"/>
      <c r="J1" s="230" t="s">
        <v>500</v>
      </c>
    </row>
    <row r="2" spans="1:23" ht="15.75">
      <c r="A2" s="115"/>
      <c r="B2" s="115"/>
      <c r="C2" s="115"/>
      <c r="D2" s="115"/>
      <c r="E2" s="115"/>
      <c r="F2" s="115"/>
      <c r="G2" s="115"/>
      <c r="H2" s="370"/>
      <c r="I2" s="370"/>
      <c r="J2" s="352" t="s">
        <v>446</v>
      </c>
      <c r="K2" s="326"/>
      <c r="L2" s="326"/>
      <c r="M2" s="326"/>
      <c r="N2" s="326"/>
      <c r="O2" s="326"/>
      <c r="P2" s="326"/>
      <c r="R2" s="326"/>
      <c r="S2" s="326"/>
      <c r="T2" s="326"/>
      <c r="U2" s="326"/>
      <c r="V2" s="326"/>
      <c r="W2" s="326"/>
    </row>
    <row r="3" spans="1:23" ht="12.75">
      <c r="A3" s="115"/>
      <c r="B3" s="491"/>
      <c r="C3" s="491"/>
      <c r="D3" s="491"/>
      <c r="E3" s="491"/>
      <c r="F3" s="491"/>
      <c r="G3" s="491"/>
      <c r="H3" s="491"/>
      <c r="I3" s="491"/>
      <c r="J3" s="491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10" ht="12" customHeight="1">
      <c r="A4" s="490" t="s">
        <v>501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12.75">
      <c r="A5" s="232"/>
      <c r="B5" s="231"/>
      <c r="C5" s="233"/>
      <c r="D5" s="234"/>
      <c r="E5" s="115"/>
      <c r="F5" s="115"/>
      <c r="G5" s="115"/>
      <c r="H5" s="115"/>
      <c r="I5" s="115"/>
      <c r="J5" s="115"/>
    </row>
    <row r="6" spans="1:10" ht="40.5" customHeight="1">
      <c r="A6" s="607" t="s">
        <v>41</v>
      </c>
      <c r="B6" s="608" t="s">
        <v>42</v>
      </c>
      <c r="C6" s="608" t="s">
        <v>44</v>
      </c>
      <c r="D6" s="609" t="s">
        <v>208</v>
      </c>
      <c r="E6" s="610" t="s">
        <v>209</v>
      </c>
      <c r="F6" s="610" t="s">
        <v>205</v>
      </c>
      <c r="G6" s="609" t="s">
        <v>237</v>
      </c>
      <c r="H6" s="610" t="s">
        <v>281</v>
      </c>
      <c r="I6" s="610" t="s">
        <v>238</v>
      </c>
      <c r="J6" s="610" t="s">
        <v>502</v>
      </c>
    </row>
    <row r="7" spans="1:10" ht="20.25" customHeight="1">
      <c r="A7" s="611" t="s">
        <v>85</v>
      </c>
      <c r="B7" s="612" t="s">
        <v>30</v>
      </c>
      <c r="C7" s="612"/>
      <c r="D7" s="613" t="e">
        <f>#REF!+D9+#REF!</f>
        <v>#REF!</v>
      </c>
      <c r="E7" s="613" t="e">
        <f>#REF!+E9</f>
        <v>#REF!</v>
      </c>
      <c r="F7" s="613" t="e">
        <f>#REF!+F9</f>
        <v>#REF!</v>
      </c>
      <c r="G7" s="613" t="e">
        <f>#REF!+#REF!+#REF!</f>
        <v>#REF!</v>
      </c>
      <c r="H7" s="613" t="e">
        <f>#REF!+#REF!+#REF!</f>
        <v>#REF!</v>
      </c>
      <c r="I7" s="613" t="e">
        <f>#REF!+#REF!+#REF!</f>
        <v>#REF!</v>
      </c>
      <c r="J7" s="614">
        <f>'Функц.2020 (прил 3) '!$L$9</f>
        <v>19653.499999999996</v>
      </c>
    </row>
    <row r="8" spans="1:10" ht="27" customHeight="1">
      <c r="A8" s="526" t="s">
        <v>289</v>
      </c>
      <c r="B8" s="615" t="s">
        <v>57</v>
      </c>
      <c r="C8" s="615"/>
      <c r="D8" s="616"/>
      <c r="E8" s="616"/>
      <c r="F8" s="616"/>
      <c r="G8" s="616"/>
      <c r="H8" s="616"/>
      <c r="I8" s="616"/>
      <c r="J8" s="617">
        <f>'Функц.2020 (прил 3) '!$L$13</f>
        <v>1272.3</v>
      </c>
    </row>
    <row r="9" spans="1:10" ht="39.75" customHeight="1">
      <c r="A9" s="526" t="s">
        <v>203</v>
      </c>
      <c r="B9" s="615" t="s">
        <v>45</v>
      </c>
      <c r="C9" s="615"/>
      <c r="D9" s="616" t="e">
        <f>#REF!</f>
        <v>#REF!</v>
      </c>
      <c r="E9" s="616" t="e">
        <f>#REF!</f>
        <v>#REF!</v>
      </c>
      <c r="F9" s="616" t="e">
        <f>#REF!</f>
        <v>#REF!</v>
      </c>
      <c r="G9" s="616" t="e">
        <f>#REF!+#REF!</f>
        <v>#REF!</v>
      </c>
      <c r="H9" s="616" t="e">
        <f>#REF!+#REF!</f>
        <v>#REF!</v>
      </c>
      <c r="I9" s="616" t="e">
        <f>#REF!+#REF!</f>
        <v>#REF!</v>
      </c>
      <c r="J9" s="617">
        <f>'Функц.2020 (прил 3) '!$L$14</f>
        <v>2586.6000000000004</v>
      </c>
    </row>
    <row r="10" spans="1:12" ht="44.25" customHeight="1">
      <c r="A10" s="526" t="s">
        <v>241</v>
      </c>
      <c r="B10" s="615" t="s">
        <v>60</v>
      </c>
      <c r="C10" s="615"/>
      <c r="D10" s="616" t="e">
        <f>#REF!</f>
        <v>#REF!</v>
      </c>
      <c r="E10" s="616" t="e">
        <f>#REF!</f>
        <v>#REF!</v>
      </c>
      <c r="F10" s="616" t="e">
        <f>#REF!</f>
        <v>#REF!</v>
      </c>
      <c r="G10" s="616" t="e">
        <f>#REF!+#REF!+#REF!</f>
        <v>#REF!</v>
      </c>
      <c r="H10" s="616" t="e">
        <f>#REF!+#REF!+#REF!</f>
        <v>#REF!</v>
      </c>
      <c r="I10" s="616" t="e">
        <f>#REF!+#REF!+#REF!</f>
        <v>#REF!</v>
      </c>
      <c r="J10" s="617">
        <f>'Функц.2020 (прил 3) '!$L$29</f>
        <v>9925.9</v>
      </c>
      <c r="L10" s="267" t="e">
        <f>J10+J8+J9-#REF!-#REF!</f>
        <v>#REF!</v>
      </c>
    </row>
    <row r="11" spans="1:12" ht="44.25" customHeight="1" hidden="1">
      <c r="A11" s="618" t="s">
        <v>438</v>
      </c>
      <c r="B11" s="615" t="s">
        <v>439</v>
      </c>
      <c r="C11" s="615"/>
      <c r="D11" s="616"/>
      <c r="E11" s="616"/>
      <c r="F11" s="616"/>
      <c r="G11" s="616"/>
      <c r="H11" s="616"/>
      <c r="I11" s="616"/>
      <c r="J11" s="617">
        <f>'[3]Вед. 2020 (прил 4)'!N32</f>
        <v>0</v>
      </c>
      <c r="L11" s="267"/>
    </row>
    <row r="12" spans="1:12" ht="22.5" customHeight="1">
      <c r="A12" s="619" t="s">
        <v>450</v>
      </c>
      <c r="B12" s="620" t="s">
        <v>439</v>
      </c>
      <c r="C12" s="620" t="s">
        <v>451</v>
      </c>
      <c r="D12" s="616"/>
      <c r="E12" s="616"/>
      <c r="F12" s="616"/>
      <c r="G12" s="616"/>
      <c r="H12" s="616"/>
      <c r="I12" s="616"/>
      <c r="J12" s="617">
        <f>'Функц.2020 (прил 3) '!$L$57</f>
        <v>3339.1</v>
      </c>
      <c r="L12" s="267"/>
    </row>
    <row r="13" spans="1:10" ht="20.25" customHeight="1">
      <c r="A13" s="618" t="s">
        <v>286</v>
      </c>
      <c r="B13" s="615" t="s">
        <v>177</v>
      </c>
      <c r="C13" s="615"/>
      <c r="D13" s="616" t="e">
        <f>#REF!</f>
        <v>#REF!</v>
      </c>
      <c r="E13" s="616" t="e">
        <f>#REF!</f>
        <v>#REF!</v>
      </c>
      <c r="F13" s="616" t="e">
        <f>#REF!</f>
        <v>#REF!</v>
      </c>
      <c r="G13" s="621" t="e">
        <f>#REF!</f>
        <v>#REF!</v>
      </c>
      <c r="H13" s="621" t="e">
        <f>#REF!</f>
        <v>#REF!</v>
      </c>
      <c r="I13" s="621" t="e">
        <f>#REF!</f>
        <v>#REF!</v>
      </c>
      <c r="J13" s="617">
        <f>'[4]Функц.2020 (прил 3) '!L57</f>
        <v>20</v>
      </c>
    </row>
    <row r="14" spans="1:10" ht="17.25" customHeight="1">
      <c r="A14" s="618" t="s">
        <v>46</v>
      </c>
      <c r="B14" s="615" t="s">
        <v>178</v>
      </c>
      <c r="C14" s="615"/>
      <c r="D14" s="616">
        <v>100</v>
      </c>
      <c r="E14" s="616"/>
      <c r="F14" s="616">
        <v>100</v>
      </c>
      <c r="G14" s="621" t="e">
        <f>#REF!+#REF!+#REF!+#REF!+#REF!+#REF!</f>
        <v>#REF!</v>
      </c>
      <c r="H14" s="621" t="e">
        <f>#REF!+#REF!+#REF!+#REF!+#REF!+#REF!</f>
        <v>#REF!</v>
      </c>
      <c r="I14" s="621" t="e">
        <f>#REF!+#REF!+#REF!+#REF!+#REF!+#REF!</f>
        <v>#REF!</v>
      </c>
      <c r="J14" s="617">
        <f>'Функц.2020 (прил 3) '!$L$64</f>
        <v>2417.8</v>
      </c>
    </row>
    <row r="15" spans="1:10" ht="28.5" customHeight="1">
      <c r="A15" s="611" t="s">
        <v>53</v>
      </c>
      <c r="B15" s="612" t="s">
        <v>47</v>
      </c>
      <c r="C15" s="612"/>
      <c r="D15" s="613" t="e">
        <f>D16+#REF!+#REF!+#REF!</f>
        <v>#REF!</v>
      </c>
      <c r="E15" s="613" t="e">
        <f>E16+#REF!+#REF!+#REF!</f>
        <v>#REF!</v>
      </c>
      <c r="F15" s="613" t="e">
        <f>F16+#REF!+#REF!+#REF!</f>
        <v>#REF!</v>
      </c>
      <c r="G15" s="613" t="e">
        <f>G16</f>
        <v>#REF!</v>
      </c>
      <c r="H15" s="613" t="e">
        <f>H16</f>
        <v>#REF!</v>
      </c>
      <c r="I15" s="613" t="e">
        <f>I16</f>
        <v>#REF!</v>
      </c>
      <c r="J15" s="614">
        <f>J16</f>
        <v>50</v>
      </c>
    </row>
    <row r="16" spans="1:10" ht="30.75" customHeight="1">
      <c r="A16" s="618" t="s">
        <v>176</v>
      </c>
      <c r="B16" s="615" t="s">
        <v>37</v>
      </c>
      <c r="C16" s="615"/>
      <c r="D16" s="616" t="e">
        <f>#REF!</f>
        <v>#REF!</v>
      </c>
      <c r="E16" s="616" t="e">
        <f>#REF!</f>
        <v>#REF!</v>
      </c>
      <c r="F16" s="616" t="e">
        <f>#REF!</f>
        <v>#REF!</v>
      </c>
      <c r="G16" s="616" t="e">
        <f>#REF!+#REF!</f>
        <v>#REF!</v>
      </c>
      <c r="H16" s="616" t="e">
        <f>#REF!+#REF!</f>
        <v>#REF!</v>
      </c>
      <c r="I16" s="616" t="e">
        <f>#REF!+#REF!</f>
        <v>#REF!</v>
      </c>
      <c r="J16" s="617">
        <f>'Функц.2020 (прил 3) '!$L$102</f>
        <v>50</v>
      </c>
    </row>
    <row r="17" spans="1:10" ht="21" customHeight="1">
      <c r="A17" s="622" t="s">
        <v>290</v>
      </c>
      <c r="B17" s="612" t="s">
        <v>291</v>
      </c>
      <c r="C17" s="623"/>
      <c r="D17" s="624"/>
      <c r="E17" s="624"/>
      <c r="F17" s="624"/>
      <c r="G17" s="624"/>
      <c r="H17" s="624"/>
      <c r="I17" s="624"/>
      <c r="J17" s="614">
        <f>'Функц.2020 (прил 3) '!$L$103</f>
        <v>52410.1</v>
      </c>
    </row>
    <row r="18" spans="1:10" ht="15.75" customHeight="1">
      <c r="A18" s="526" t="s">
        <v>348</v>
      </c>
      <c r="B18" s="615" t="s">
        <v>345</v>
      </c>
      <c r="C18" s="615"/>
      <c r="D18" s="616">
        <f>'[2]роспись'!H63</f>
        <v>5320</v>
      </c>
      <c r="E18" s="616">
        <v>480</v>
      </c>
      <c r="F18" s="616">
        <v>668</v>
      </c>
      <c r="G18" s="616" t="e">
        <f>#REF!</f>
        <v>#REF!</v>
      </c>
      <c r="H18" s="616" t="e">
        <f>#REF!</f>
        <v>#REF!</v>
      </c>
      <c r="I18" s="616" t="e">
        <f>#REF!</f>
        <v>#REF!</v>
      </c>
      <c r="J18" s="617">
        <f>'Функц.2020 (прил 3) '!$L$104</f>
        <v>390</v>
      </c>
    </row>
    <row r="19" spans="1:10" ht="21" customHeight="1">
      <c r="A19" s="526" t="s">
        <v>217</v>
      </c>
      <c r="B19" s="615" t="s">
        <v>216</v>
      </c>
      <c r="C19" s="615"/>
      <c r="D19" s="616">
        <f>'[2]роспись'!H68</f>
        <v>668</v>
      </c>
      <c r="E19" s="616">
        <v>480</v>
      </c>
      <c r="F19" s="616">
        <v>668</v>
      </c>
      <c r="G19" s="616" t="e">
        <f>#REF!</f>
        <v>#REF!</v>
      </c>
      <c r="H19" s="616" t="e">
        <f>#REF!</f>
        <v>#REF!</v>
      </c>
      <c r="I19" s="616" t="e">
        <f>#REF!</f>
        <v>#REF!</v>
      </c>
      <c r="J19" s="617">
        <f>'Функц.2020 (прил 3) '!$L$116</f>
        <v>51970.1</v>
      </c>
    </row>
    <row r="20" spans="1:10" ht="15" customHeight="1">
      <c r="A20" s="526" t="s">
        <v>362</v>
      </c>
      <c r="B20" s="615" t="s">
        <v>361</v>
      </c>
      <c r="C20" s="615"/>
      <c r="D20" s="616" t="e">
        <f>'[2]роспись'!H73</f>
        <v>#REF!</v>
      </c>
      <c r="E20" s="616">
        <v>480</v>
      </c>
      <c r="F20" s="616">
        <v>668</v>
      </c>
      <c r="G20" s="616" t="e">
        <f>#REF!</f>
        <v>#REF!</v>
      </c>
      <c r="H20" s="616" t="e">
        <f>#REF!</f>
        <v>#REF!</v>
      </c>
      <c r="I20" s="616" t="e">
        <f>#REF!</f>
        <v>#REF!</v>
      </c>
      <c r="J20" s="617">
        <f>'Функц.2020 (прил 3) '!$L$120</f>
        <v>50</v>
      </c>
    </row>
    <row r="21" spans="1:10" ht="12.75">
      <c r="A21" s="611" t="s">
        <v>48</v>
      </c>
      <c r="B21" s="612" t="s">
        <v>49</v>
      </c>
      <c r="C21" s="615"/>
      <c r="D21" s="616" t="e">
        <f>#REF!+#REF!+#REF!</f>
        <v>#REF!</v>
      </c>
      <c r="E21" s="616" t="e">
        <f>#REF!+#REF!+#REF!</f>
        <v>#REF!</v>
      </c>
      <c r="F21" s="616" t="e">
        <f>#REF!+#REF!+#REF!</f>
        <v>#REF!</v>
      </c>
      <c r="G21" s="613" t="e">
        <f>#REF!+#REF!+#REF!+#REF!</f>
        <v>#REF!</v>
      </c>
      <c r="H21" s="613" t="e">
        <f>#REF!+#REF!+#REF!+#REF!</f>
        <v>#REF!</v>
      </c>
      <c r="I21" s="613" t="e">
        <f>#REF!+#REF!+#REF!+#REF!</f>
        <v>#REF!</v>
      </c>
      <c r="J21" s="614">
        <f>'Функц.2020 (прил 3) '!$L$122</f>
        <v>57086.5</v>
      </c>
    </row>
    <row r="22" spans="1:10" ht="12.75">
      <c r="A22" s="625" t="s">
        <v>299</v>
      </c>
      <c r="B22" s="615" t="s">
        <v>88</v>
      </c>
      <c r="C22" s="615"/>
      <c r="D22" s="616"/>
      <c r="E22" s="616"/>
      <c r="F22" s="616"/>
      <c r="G22" s="616"/>
      <c r="H22" s="616"/>
      <c r="I22" s="616"/>
      <c r="J22" s="617">
        <f>'Функц.2020 (прил 3) '!$L$122</f>
        <v>57086.5</v>
      </c>
    </row>
    <row r="23" spans="1:10" ht="12.75">
      <c r="A23" s="611" t="s">
        <v>50</v>
      </c>
      <c r="B23" s="612" t="s">
        <v>38</v>
      </c>
      <c r="C23" s="612"/>
      <c r="D23" s="613" t="e">
        <f aca="true" t="shared" si="0" ref="D23:I23">D25</f>
        <v>#REF!</v>
      </c>
      <c r="E23" s="613" t="e">
        <f t="shared" si="0"/>
        <v>#REF!</v>
      </c>
      <c r="F23" s="613" t="e">
        <f t="shared" si="0"/>
        <v>#REF!</v>
      </c>
      <c r="G23" s="613" t="e">
        <f t="shared" si="0"/>
        <v>#REF!</v>
      </c>
      <c r="H23" s="613" t="e">
        <f t="shared" si="0"/>
        <v>#REF!</v>
      </c>
      <c r="I23" s="613" t="e">
        <f t="shared" si="0"/>
        <v>#REF!</v>
      </c>
      <c r="J23" s="614">
        <f>SUM(J24:J25)</f>
        <v>1141.5</v>
      </c>
    </row>
    <row r="24" spans="1:10" ht="27" customHeight="1">
      <c r="A24" s="618" t="s">
        <v>301</v>
      </c>
      <c r="B24" s="615" t="s">
        <v>300</v>
      </c>
      <c r="C24" s="615"/>
      <c r="D24" s="616" t="e">
        <f>D25</f>
        <v>#REF!</v>
      </c>
      <c r="E24" s="616" t="e">
        <f>E25</f>
        <v>#REF!</v>
      </c>
      <c r="F24" s="616" t="e">
        <f>F25</f>
        <v>#REF!</v>
      </c>
      <c r="G24" s="616" t="e">
        <f>G25+#REF!+#REF!</f>
        <v>#REF!</v>
      </c>
      <c r="H24" s="616" t="e">
        <f>H25+#REF!+#REF!</f>
        <v>#REF!</v>
      </c>
      <c r="I24" s="616" t="e">
        <f>I25+#REF!+#REF!</f>
        <v>#REF!</v>
      </c>
      <c r="J24" s="617">
        <f>'Функц.2020 (прил 3) '!$L$167</f>
        <v>100</v>
      </c>
    </row>
    <row r="25" spans="1:10" ht="18.75" customHeight="1">
      <c r="A25" s="618" t="s">
        <v>415</v>
      </c>
      <c r="B25" s="615" t="s">
        <v>39</v>
      </c>
      <c r="C25" s="615"/>
      <c r="D25" s="616" t="e">
        <f>#REF!</f>
        <v>#REF!</v>
      </c>
      <c r="E25" s="616" t="e">
        <f>#REF!</f>
        <v>#REF!</v>
      </c>
      <c r="F25" s="616" t="e">
        <f>#REF!</f>
        <v>#REF!</v>
      </c>
      <c r="G25" s="616" t="e">
        <f>#REF!+#REF!+#REF!</f>
        <v>#REF!</v>
      </c>
      <c r="H25" s="616" t="e">
        <f>#REF!+#REF!+#REF!</f>
        <v>#REF!</v>
      </c>
      <c r="I25" s="616" t="e">
        <f>#REF!+#REF!+#REF!</f>
        <v>#REF!</v>
      </c>
      <c r="J25" s="617">
        <f>'Функц.2020 (прил 3) '!$L$168</f>
        <v>1041.5</v>
      </c>
    </row>
    <row r="26" spans="1:10" ht="12.75">
      <c r="A26" s="611" t="s">
        <v>201</v>
      </c>
      <c r="B26" s="612" t="s">
        <v>40</v>
      </c>
      <c r="C26" s="626"/>
      <c r="D26" s="627"/>
      <c r="E26" s="628"/>
      <c r="F26" s="628"/>
      <c r="G26" s="613" t="e">
        <f>G27</f>
        <v>#REF!</v>
      </c>
      <c r="H26" s="613" t="e">
        <f>H27</f>
        <v>#REF!</v>
      </c>
      <c r="I26" s="613" t="e">
        <f>I27</f>
        <v>#REF!</v>
      </c>
      <c r="J26" s="614">
        <f>'Функц.2020 (прил 3) '!$L$175</f>
        <v>12983</v>
      </c>
    </row>
    <row r="27" spans="1:10" ht="12.75">
      <c r="A27" s="618" t="s">
        <v>54</v>
      </c>
      <c r="B27" s="615" t="s">
        <v>55</v>
      </c>
      <c r="C27" s="626"/>
      <c r="D27" s="627"/>
      <c r="E27" s="628"/>
      <c r="F27" s="628"/>
      <c r="G27" s="616" t="e">
        <f>#REF!+G28</f>
        <v>#REF!</v>
      </c>
      <c r="H27" s="616" t="e">
        <f>#REF!+H28</f>
        <v>#REF!</v>
      </c>
      <c r="I27" s="616" t="e">
        <f>#REF!+I28</f>
        <v>#REF!</v>
      </c>
      <c r="J27" s="617">
        <f>'Функц.2020 (прил 3) '!$L$177</f>
        <v>2173.9</v>
      </c>
    </row>
    <row r="28" spans="1:10" ht="20.25" customHeight="1">
      <c r="A28" s="629" t="s">
        <v>288</v>
      </c>
      <c r="B28" s="615" t="s">
        <v>254</v>
      </c>
      <c r="C28" s="626"/>
      <c r="D28" s="627"/>
      <c r="E28" s="628"/>
      <c r="F28" s="628"/>
      <c r="G28" s="616" t="e">
        <f>#REF!</f>
        <v>#REF!</v>
      </c>
      <c r="H28" s="616" t="e">
        <f>#REF!</f>
        <v>#REF!</v>
      </c>
      <c r="I28" s="616" t="e">
        <f>#REF!</f>
        <v>#REF!</v>
      </c>
      <c r="J28" s="617">
        <f>'Функц.2020 (прил 3) '!$L$183</f>
        <v>8823.8</v>
      </c>
    </row>
    <row r="29" spans="1:10" ht="12.75">
      <c r="A29" s="611" t="s">
        <v>51</v>
      </c>
      <c r="B29" s="612">
        <v>1000</v>
      </c>
      <c r="C29" s="626"/>
      <c r="D29" s="627"/>
      <c r="E29" s="628"/>
      <c r="F29" s="628"/>
      <c r="G29" s="613" t="e">
        <f>G31+G30</f>
        <v>#REF!</v>
      </c>
      <c r="H29" s="613" t="e">
        <f>H31+H30</f>
        <v>#REF!</v>
      </c>
      <c r="I29" s="613" t="e">
        <f>I31+I30</f>
        <v>#REF!</v>
      </c>
      <c r="J29" s="614">
        <f>SUM(J30:J31)</f>
        <v>1307.5</v>
      </c>
    </row>
    <row r="30" spans="1:10" ht="15" customHeight="1">
      <c r="A30" s="526" t="s">
        <v>214</v>
      </c>
      <c r="B30" s="615" t="s">
        <v>213</v>
      </c>
      <c r="C30" s="626"/>
      <c r="D30" s="627"/>
      <c r="E30" s="628"/>
      <c r="F30" s="628"/>
      <c r="G30" s="616" t="e">
        <f>#REF!</f>
        <v>#REF!</v>
      </c>
      <c r="H30" s="616" t="e">
        <f>#REF!</f>
        <v>#REF!</v>
      </c>
      <c r="I30" s="616" t="e">
        <f>#REF!</f>
        <v>#REF!</v>
      </c>
      <c r="J30" s="617">
        <f>'Функц.2020 (прил 3) '!$L$202</f>
        <v>343.5</v>
      </c>
    </row>
    <row r="31" spans="1:10" ht="15" customHeight="1">
      <c r="A31" s="618" t="s">
        <v>170</v>
      </c>
      <c r="B31" s="615" t="s">
        <v>56</v>
      </c>
      <c r="C31" s="626"/>
      <c r="D31" s="627"/>
      <c r="E31" s="628"/>
      <c r="F31" s="628"/>
      <c r="G31" s="616" t="e">
        <f>#REF!+#REF!+#REF!</f>
        <v>#REF!</v>
      </c>
      <c r="H31" s="616" t="e">
        <f>#REF!+#REF!+#REF!</f>
        <v>#REF!</v>
      </c>
      <c r="I31" s="616" t="e">
        <f>#REF!+#REF!+#REF!</f>
        <v>#REF!</v>
      </c>
      <c r="J31" s="617">
        <f>'Функц.2020 (прил 3) '!$L$206</f>
        <v>964</v>
      </c>
    </row>
    <row r="32" spans="1:10" ht="12.75">
      <c r="A32" s="611" t="s">
        <v>169</v>
      </c>
      <c r="B32" s="612" t="s">
        <v>180</v>
      </c>
      <c r="C32" s="626"/>
      <c r="D32" s="627"/>
      <c r="E32" s="628"/>
      <c r="F32" s="628"/>
      <c r="G32" s="613" t="e">
        <f>G33</f>
        <v>#REF!</v>
      </c>
      <c r="H32" s="613" t="e">
        <f>H33</f>
        <v>#REF!</v>
      </c>
      <c r="I32" s="613" t="e">
        <f>I33</f>
        <v>#REF!</v>
      </c>
      <c r="J32" s="614">
        <f>'Функц.2020 (прил 3) '!$L$211</f>
        <v>2205.1000000000004</v>
      </c>
    </row>
    <row r="33" spans="1:10" ht="12.75">
      <c r="A33" s="618" t="s">
        <v>181</v>
      </c>
      <c r="B33" s="615" t="s">
        <v>179</v>
      </c>
      <c r="C33" s="626"/>
      <c r="D33" s="627"/>
      <c r="E33" s="628"/>
      <c r="F33" s="628"/>
      <c r="G33" s="616" t="e">
        <f>#REF!</f>
        <v>#REF!</v>
      </c>
      <c r="H33" s="616" t="e">
        <f>#REF!</f>
        <v>#REF!</v>
      </c>
      <c r="I33" s="616" t="e">
        <f>#REF!</f>
        <v>#REF!</v>
      </c>
      <c r="J33" s="617">
        <f>'Функц.2020 (прил 3) '!$L$211</f>
        <v>2205.1000000000004</v>
      </c>
    </row>
    <row r="34" spans="1:10" ht="12.75">
      <c r="A34" s="611" t="s">
        <v>182</v>
      </c>
      <c r="B34" s="612" t="s">
        <v>183</v>
      </c>
      <c r="C34" s="626"/>
      <c r="D34" s="627"/>
      <c r="E34" s="628"/>
      <c r="F34" s="628"/>
      <c r="G34" s="613" t="e">
        <f>G35</f>
        <v>#REF!</v>
      </c>
      <c r="H34" s="613" t="e">
        <f>H35</f>
        <v>#REF!</v>
      </c>
      <c r="I34" s="613" t="e">
        <f>I35</f>
        <v>#REF!</v>
      </c>
      <c r="J34" s="614">
        <f>J35</f>
        <v>750.8</v>
      </c>
    </row>
    <row r="35" spans="1:10" ht="13.5" thickBot="1">
      <c r="A35" s="618" t="s">
        <v>185</v>
      </c>
      <c r="B35" s="615" t="s">
        <v>184</v>
      </c>
      <c r="C35" s="626"/>
      <c r="D35" s="627"/>
      <c r="E35" s="628"/>
      <c r="F35" s="628"/>
      <c r="G35" s="616" t="e">
        <f>#REF!+#REF!</f>
        <v>#REF!</v>
      </c>
      <c r="H35" s="616" t="e">
        <f>#REF!+#REF!</f>
        <v>#REF!</v>
      </c>
      <c r="I35" s="616" t="e">
        <f>#REF!+#REF!</f>
        <v>#REF!</v>
      </c>
      <c r="J35" s="617">
        <f>'Функц.2020 (прил 3) '!$L$224</f>
        <v>750.8</v>
      </c>
    </row>
    <row r="36" spans="1:15" ht="15" thickBot="1">
      <c r="A36" s="630" t="s">
        <v>52</v>
      </c>
      <c r="B36" s="631"/>
      <c r="C36" s="632"/>
      <c r="D36" s="633"/>
      <c r="E36" s="634"/>
      <c r="F36" s="634"/>
      <c r="G36" s="635" t="e">
        <f>#REF!+#REF!</f>
        <v>#REF!</v>
      </c>
      <c r="H36" s="635" t="e">
        <f>#REF!+#REF!</f>
        <v>#REF!</v>
      </c>
      <c r="I36" s="635" t="e">
        <f>#REF!+#REF!</f>
        <v>#REF!</v>
      </c>
      <c r="J36" s="636">
        <f>J34+J32+J29+J26+J23+J21+J17+J15+J7</f>
        <v>147588</v>
      </c>
      <c r="O36" s="267"/>
    </row>
    <row r="38" ht="12.75">
      <c r="J38" s="267"/>
    </row>
    <row r="39" ht="12.75">
      <c r="J39" s="517"/>
    </row>
    <row r="41" ht="12.75">
      <c r="J41" s="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35"/>
  <sheetViews>
    <sheetView zoomScalePageLayoutView="0" workbookViewId="0" topLeftCell="A208">
      <selection activeCell="AD15" sqref="AD15"/>
    </sheetView>
  </sheetViews>
  <sheetFormatPr defaultColWidth="9.140625" defaultRowHeight="12.75"/>
  <cols>
    <col min="1" max="1" width="9.140625" style="9" customWidth="1"/>
    <col min="2" max="2" width="46.140625" style="8" customWidth="1"/>
    <col min="3" max="3" width="9.421875" style="8" customWidth="1"/>
    <col min="4" max="4" width="14.28125" style="9" customWidth="1"/>
    <col min="5" max="5" width="11.57421875" style="8" customWidth="1"/>
    <col min="6" max="6" width="11.00390625" style="8" customWidth="1"/>
    <col min="7" max="7" width="0.13671875" style="9" hidden="1" customWidth="1"/>
    <col min="8" max="8" width="8.140625" style="10" hidden="1" customWidth="1"/>
    <col min="9" max="9" width="8.00390625" style="0" hidden="1" customWidth="1"/>
    <col min="10" max="10" width="5.140625" style="0" hidden="1" customWidth="1"/>
    <col min="11" max="11" width="11.7109375" style="0" hidden="1" customWidth="1"/>
    <col min="12" max="12" width="11.00390625" style="0" hidden="1" customWidth="1"/>
    <col min="13" max="13" width="12.57421875" style="0" hidden="1" customWidth="1"/>
    <col min="14" max="14" width="14.00390625" style="0" customWidth="1"/>
    <col min="15" max="23" width="0" style="0" hidden="1" customWidth="1"/>
    <col min="24" max="24" width="11.28125" style="0" customWidth="1"/>
    <col min="25" max="25" width="9.8515625" style="0" bestFit="1" customWidth="1"/>
  </cols>
  <sheetData>
    <row r="1" spans="1:14" ht="15.75">
      <c r="A1" s="518"/>
      <c r="B1" s="228"/>
      <c r="C1" s="228"/>
      <c r="D1" s="320"/>
      <c r="E1" s="228"/>
      <c r="F1" s="228"/>
      <c r="G1" s="228"/>
      <c r="H1" s="229"/>
      <c r="I1" s="115"/>
      <c r="J1" s="115"/>
      <c r="K1" s="115"/>
      <c r="L1" s="115"/>
      <c r="M1" s="115"/>
      <c r="N1" s="230" t="s">
        <v>503</v>
      </c>
    </row>
    <row r="2" spans="1:14" ht="12.75">
      <c r="A2" s="519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70"/>
      <c r="M2" s="370"/>
      <c r="N2" s="352" t="s">
        <v>446</v>
      </c>
    </row>
    <row r="3" spans="1:14" ht="12.75">
      <c r="A3" s="51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327"/>
    </row>
    <row r="4" spans="1:14" ht="12.75">
      <c r="A4" s="519"/>
      <c r="B4" s="115"/>
      <c r="C4" s="115"/>
      <c r="D4" s="115"/>
      <c r="E4" s="115"/>
      <c r="F4" s="571"/>
      <c r="G4" s="571"/>
      <c r="H4" s="571"/>
      <c r="I4" s="571"/>
      <c r="J4" s="571"/>
      <c r="K4" s="571"/>
      <c r="L4" s="571"/>
      <c r="M4" s="571"/>
      <c r="N4" s="571"/>
    </row>
    <row r="5" spans="1:14" ht="12.75">
      <c r="A5" s="572" t="s">
        <v>504</v>
      </c>
      <c r="B5" s="572"/>
      <c r="C5" s="572" t="s">
        <v>207</v>
      </c>
      <c r="D5" s="572"/>
      <c r="E5" s="572"/>
      <c r="F5" s="572"/>
      <c r="G5" s="572"/>
      <c r="H5" s="572"/>
      <c r="I5" s="572"/>
      <c r="J5" s="572"/>
      <c r="K5" s="572"/>
      <c r="L5" s="115"/>
      <c r="M5" s="115"/>
      <c r="N5" s="115"/>
    </row>
    <row r="6" spans="1:14" ht="12.75">
      <c r="A6" s="572" t="s">
        <v>6</v>
      </c>
      <c r="B6" s="572"/>
      <c r="C6" s="572"/>
      <c r="D6" s="572"/>
      <c r="E6" s="572"/>
      <c r="F6" s="572"/>
      <c r="G6" s="572"/>
      <c r="H6" s="572"/>
      <c r="I6" s="115"/>
      <c r="J6" s="115"/>
      <c r="K6" s="115"/>
      <c r="L6" s="115"/>
      <c r="M6" s="115"/>
      <c r="N6" s="115"/>
    </row>
    <row r="7" spans="1:14" ht="13.5" thickBot="1">
      <c r="A7" s="231"/>
      <c r="B7" s="232"/>
      <c r="C7" s="232"/>
      <c r="D7" s="231"/>
      <c r="E7" s="231"/>
      <c r="F7" s="233"/>
      <c r="G7" s="233"/>
      <c r="H7" s="234"/>
      <c r="I7" s="115"/>
      <c r="J7" s="115"/>
      <c r="K7" s="115"/>
      <c r="L7" s="115"/>
      <c r="M7" s="115"/>
      <c r="N7" s="115"/>
    </row>
    <row r="8" spans="1:14" ht="85.5" customHeight="1" thickBot="1">
      <c r="A8" s="637" t="s">
        <v>505</v>
      </c>
      <c r="B8" s="638" t="s">
        <v>41</v>
      </c>
      <c r="C8" s="639" t="s">
        <v>506</v>
      </c>
      <c r="D8" s="639" t="s">
        <v>42</v>
      </c>
      <c r="E8" s="639" t="s">
        <v>31</v>
      </c>
      <c r="F8" s="639" t="s">
        <v>43</v>
      </c>
      <c r="G8" s="639" t="s">
        <v>44</v>
      </c>
      <c r="H8" s="640" t="s">
        <v>208</v>
      </c>
      <c r="I8" s="641" t="s">
        <v>209</v>
      </c>
      <c r="J8" s="641" t="s">
        <v>205</v>
      </c>
      <c r="K8" s="640" t="s">
        <v>237</v>
      </c>
      <c r="L8" s="641" t="s">
        <v>281</v>
      </c>
      <c r="M8" s="641" t="s">
        <v>238</v>
      </c>
      <c r="N8" s="642" t="s">
        <v>282</v>
      </c>
    </row>
    <row r="9" spans="1:14" ht="36.75" thickBot="1">
      <c r="A9" s="643" t="s">
        <v>21</v>
      </c>
      <c r="B9" s="644" t="s">
        <v>507</v>
      </c>
      <c r="C9" s="645" t="s">
        <v>508</v>
      </c>
      <c r="D9" s="645"/>
      <c r="E9" s="645"/>
      <c r="F9" s="645"/>
      <c r="G9" s="645"/>
      <c r="H9" s="646" t="e">
        <f>H12+H15</f>
        <v>#REF!</v>
      </c>
      <c r="I9" s="646" t="e">
        <f>I12+I15</f>
        <v>#REF!</v>
      </c>
      <c r="J9" s="646" t="e">
        <f>J12+J15</f>
        <v>#REF!</v>
      </c>
      <c r="K9" s="647" t="e">
        <f>K10+K15</f>
        <v>#REF!</v>
      </c>
      <c r="L9" s="647" t="e">
        <f>L10+L15</f>
        <v>#REF!</v>
      </c>
      <c r="M9" s="647" t="e">
        <f>M10+M15</f>
        <v>#REF!</v>
      </c>
      <c r="N9" s="648">
        <f>N10</f>
        <v>3942.9000000000005</v>
      </c>
    </row>
    <row r="10" spans="1:14" ht="12.75">
      <c r="A10" s="649" t="s">
        <v>509</v>
      </c>
      <c r="B10" s="650" t="s">
        <v>85</v>
      </c>
      <c r="C10" s="651" t="s">
        <v>508</v>
      </c>
      <c r="D10" s="651" t="s">
        <v>30</v>
      </c>
      <c r="E10" s="651"/>
      <c r="F10" s="651"/>
      <c r="G10" s="612"/>
      <c r="H10" s="613" t="e">
        <f>H12+H15+#REF!</f>
        <v>#REF!</v>
      </c>
      <c r="I10" s="613" t="e">
        <f>I12+I15</f>
        <v>#REF!</v>
      </c>
      <c r="J10" s="613" t="e">
        <f>J12+J15</f>
        <v>#REF!</v>
      </c>
      <c r="K10" s="652" t="e">
        <f>K12+K47+#REF!</f>
        <v>#REF!</v>
      </c>
      <c r="L10" s="652" t="e">
        <f>L12+L47+#REF!</f>
        <v>#REF!</v>
      </c>
      <c r="M10" s="652" t="e">
        <f>M12+M47+#REF!</f>
        <v>#REF!</v>
      </c>
      <c r="N10" s="653">
        <f>N12+N15+N27</f>
        <v>3942.9000000000005</v>
      </c>
    </row>
    <row r="11" spans="1:14" ht="41.25" customHeight="1">
      <c r="A11" s="649" t="s">
        <v>74</v>
      </c>
      <c r="B11" s="650" t="s">
        <v>289</v>
      </c>
      <c r="C11" s="651" t="s">
        <v>508</v>
      </c>
      <c r="D11" s="651" t="s">
        <v>57</v>
      </c>
      <c r="E11" s="651"/>
      <c r="F11" s="651"/>
      <c r="G11" s="612"/>
      <c r="H11" s="613"/>
      <c r="I11" s="613"/>
      <c r="J11" s="613"/>
      <c r="K11" s="652"/>
      <c r="L11" s="652"/>
      <c r="M11" s="652"/>
      <c r="N11" s="653">
        <f>N12</f>
        <v>1272.3</v>
      </c>
    </row>
    <row r="12" spans="1:14" ht="12.75">
      <c r="A12" s="654" t="s">
        <v>59</v>
      </c>
      <c r="B12" s="611" t="s">
        <v>159</v>
      </c>
      <c r="C12" s="612" t="s">
        <v>508</v>
      </c>
      <c r="D12" s="612" t="s">
        <v>57</v>
      </c>
      <c r="E12" s="612" t="s">
        <v>367</v>
      </c>
      <c r="F12" s="612"/>
      <c r="G12" s="612"/>
      <c r="H12" s="613">
        <f aca="true" t="shared" si="0" ref="H12:M12">H14</f>
        <v>753.2</v>
      </c>
      <c r="I12" s="613">
        <f t="shared" si="0"/>
        <v>530.7</v>
      </c>
      <c r="J12" s="613">
        <f t="shared" si="0"/>
        <v>753.2</v>
      </c>
      <c r="K12" s="655">
        <f t="shared" si="0"/>
        <v>918.9</v>
      </c>
      <c r="L12" s="655">
        <f t="shared" si="0"/>
        <v>606.1</v>
      </c>
      <c r="M12" s="655">
        <f t="shared" si="0"/>
        <v>918.9</v>
      </c>
      <c r="N12" s="656">
        <f>N13</f>
        <v>1272.3</v>
      </c>
    </row>
    <row r="13" spans="1:27" ht="56.25" customHeight="1">
      <c r="A13" s="381" t="s">
        <v>58</v>
      </c>
      <c r="B13" s="526" t="s">
        <v>304</v>
      </c>
      <c r="C13" s="615" t="s">
        <v>508</v>
      </c>
      <c r="D13" s="615" t="s">
        <v>57</v>
      </c>
      <c r="E13" s="615" t="s">
        <v>367</v>
      </c>
      <c r="F13" s="615" t="s">
        <v>302</v>
      </c>
      <c r="G13" s="615"/>
      <c r="H13" s="616" t="e">
        <f>'[2]роспись'!H9</f>
        <v>#REF!</v>
      </c>
      <c r="I13" s="616">
        <v>530.7</v>
      </c>
      <c r="J13" s="616">
        <v>753.2</v>
      </c>
      <c r="K13" s="657">
        <v>918.9</v>
      </c>
      <c r="L13" s="658">
        <v>606.1</v>
      </c>
      <c r="M13" s="659">
        <v>918.9</v>
      </c>
      <c r="N13" s="660">
        <f>N14</f>
        <v>1272.3</v>
      </c>
      <c r="O13" s="267"/>
      <c r="Z13" s="267"/>
      <c r="AA13" s="267"/>
    </row>
    <row r="14" spans="1:14" ht="26.25" customHeight="1">
      <c r="A14" s="381" t="s">
        <v>510</v>
      </c>
      <c r="B14" s="526" t="s">
        <v>305</v>
      </c>
      <c r="C14" s="615" t="s">
        <v>508</v>
      </c>
      <c r="D14" s="615" t="s">
        <v>57</v>
      </c>
      <c r="E14" s="615" t="s">
        <v>367</v>
      </c>
      <c r="F14" s="615" t="s">
        <v>303</v>
      </c>
      <c r="G14" s="615"/>
      <c r="H14" s="616">
        <f>'[2]роспись'!H10</f>
        <v>753.2</v>
      </c>
      <c r="I14" s="616">
        <v>530.7</v>
      </c>
      <c r="J14" s="616">
        <v>753.2</v>
      </c>
      <c r="K14" s="657">
        <v>918.9</v>
      </c>
      <c r="L14" s="658">
        <v>606.1</v>
      </c>
      <c r="M14" s="659">
        <v>918.9</v>
      </c>
      <c r="N14" s="660">
        <f>'Функц.2020 (прил 3) '!$L$13</f>
        <v>1272.3</v>
      </c>
    </row>
    <row r="15" spans="1:27" ht="45" customHeight="1">
      <c r="A15" s="654" t="s">
        <v>511</v>
      </c>
      <c r="B15" s="611" t="s">
        <v>203</v>
      </c>
      <c r="C15" s="612" t="s">
        <v>508</v>
      </c>
      <c r="D15" s="612" t="s">
        <v>45</v>
      </c>
      <c r="E15" s="612"/>
      <c r="F15" s="612"/>
      <c r="G15" s="612"/>
      <c r="H15" s="613" t="e">
        <f>H24</f>
        <v>#REF!</v>
      </c>
      <c r="I15" s="613" t="e">
        <f>I24</f>
        <v>#REF!</v>
      </c>
      <c r="J15" s="613" t="e">
        <f>J24</f>
        <v>#REF!</v>
      </c>
      <c r="K15" s="655" t="e">
        <f>K24+K17</f>
        <v>#REF!</v>
      </c>
      <c r="L15" s="655" t="e">
        <f>L24+L17</f>
        <v>#REF!</v>
      </c>
      <c r="M15" s="655" t="e">
        <f>M24+M17</f>
        <v>#REF!</v>
      </c>
      <c r="N15" s="656">
        <f>N16</f>
        <v>2586.6000000000004</v>
      </c>
      <c r="Z15" s="267"/>
      <c r="AA15" s="267"/>
    </row>
    <row r="16" spans="1:27" ht="30" customHeight="1">
      <c r="A16" s="654" t="s">
        <v>174</v>
      </c>
      <c r="B16" s="661" t="s">
        <v>407</v>
      </c>
      <c r="C16" s="662" t="s">
        <v>508</v>
      </c>
      <c r="D16" s="662" t="s">
        <v>45</v>
      </c>
      <c r="E16" s="612" t="s">
        <v>368</v>
      </c>
      <c r="F16" s="662"/>
      <c r="G16" s="612"/>
      <c r="H16" s="613" t="e">
        <f>#REF!</f>
        <v>#REF!</v>
      </c>
      <c r="I16" s="613" t="e">
        <f>#REF!</f>
        <v>#REF!</v>
      </c>
      <c r="J16" s="613" t="e">
        <f>#REF!</f>
        <v>#REF!</v>
      </c>
      <c r="K16" s="655" t="e">
        <f>#REF!</f>
        <v>#REF!</v>
      </c>
      <c r="L16" s="655" t="e">
        <f>#REF!</f>
        <v>#REF!</v>
      </c>
      <c r="M16" s="655" t="e">
        <f>#REF!</f>
        <v>#REF!</v>
      </c>
      <c r="N16" s="656">
        <f>N24+N17</f>
        <v>2586.6000000000004</v>
      </c>
      <c r="Y16" s="267"/>
      <c r="Z16" s="267"/>
      <c r="AA16" s="267"/>
    </row>
    <row r="17" spans="1:14" ht="30" customHeight="1">
      <c r="A17" s="654" t="s">
        <v>512</v>
      </c>
      <c r="B17" s="611" t="s">
        <v>240</v>
      </c>
      <c r="C17" s="612" t="s">
        <v>508</v>
      </c>
      <c r="D17" s="612" t="s">
        <v>45</v>
      </c>
      <c r="E17" s="612" t="s">
        <v>402</v>
      </c>
      <c r="F17" s="612"/>
      <c r="G17" s="612"/>
      <c r="H17" s="613"/>
      <c r="I17" s="613"/>
      <c r="J17" s="613"/>
      <c r="K17" s="655" t="e">
        <f>K19+#REF!</f>
        <v>#REF!</v>
      </c>
      <c r="L17" s="655" t="e">
        <f>L19+#REF!</f>
        <v>#REF!</v>
      </c>
      <c r="M17" s="655" t="e">
        <f>M19+#REF!</f>
        <v>#REF!</v>
      </c>
      <c r="N17" s="656">
        <f>N19+N21+N23</f>
        <v>2428.3</v>
      </c>
    </row>
    <row r="18" spans="1:14" ht="50.25" customHeight="1">
      <c r="A18" s="381" t="s">
        <v>513</v>
      </c>
      <c r="B18" s="525" t="s">
        <v>306</v>
      </c>
      <c r="C18" s="615" t="s">
        <v>508</v>
      </c>
      <c r="D18" s="615" t="s">
        <v>45</v>
      </c>
      <c r="E18" s="615" t="s">
        <v>402</v>
      </c>
      <c r="F18" s="615" t="s">
        <v>302</v>
      </c>
      <c r="G18" s="615"/>
      <c r="H18" s="616"/>
      <c r="I18" s="616"/>
      <c r="J18" s="616"/>
      <c r="K18" s="663">
        <v>519.5</v>
      </c>
      <c r="L18" s="664">
        <v>330.8</v>
      </c>
      <c r="M18" s="665">
        <v>519.7</v>
      </c>
      <c r="N18" s="666">
        <f>N19</f>
        <v>1615.1</v>
      </c>
    </row>
    <row r="19" spans="1:14" ht="28.5" customHeight="1">
      <c r="A19" s="381" t="s">
        <v>514</v>
      </c>
      <c r="B19" s="525" t="s">
        <v>307</v>
      </c>
      <c r="C19" s="615" t="s">
        <v>508</v>
      </c>
      <c r="D19" s="615" t="s">
        <v>45</v>
      </c>
      <c r="E19" s="615" t="s">
        <v>402</v>
      </c>
      <c r="F19" s="615" t="s">
        <v>303</v>
      </c>
      <c r="G19" s="615"/>
      <c r="H19" s="616"/>
      <c r="I19" s="616"/>
      <c r="J19" s="616"/>
      <c r="K19" s="663">
        <v>519.5</v>
      </c>
      <c r="L19" s="664">
        <v>330.8</v>
      </c>
      <c r="M19" s="665">
        <v>519.7</v>
      </c>
      <c r="N19" s="666">
        <f>'Функц.2020 (прил 3) '!$L$18</f>
        <v>1615.1</v>
      </c>
    </row>
    <row r="20" spans="1:25" ht="35.25" customHeight="1">
      <c r="A20" s="381" t="s">
        <v>515</v>
      </c>
      <c r="B20" s="667" t="s">
        <v>309</v>
      </c>
      <c r="C20" s="615" t="s">
        <v>508</v>
      </c>
      <c r="D20" s="615" t="s">
        <v>45</v>
      </c>
      <c r="E20" s="615" t="s">
        <v>402</v>
      </c>
      <c r="F20" s="615" t="s">
        <v>308</v>
      </c>
      <c r="G20" s="615"/>
      <c r="H20" s="616"/>
      <c r="I20" s="616"/>
      <c r="J20" s="616"/>
      <c r="K20" s="663">
        <v>519.5</v>
      </c>
      <c r="L20" s="664">
        <v>330.8</v>
      </c>
      <c r="M20" s="665">
        <v>519.7</v>
      </c>
      <c r="N20" s="666">
        <f>N21</f>
        <v>813.2</v>
      </c>
      <c r="Y20" s="267"/>
    </row>
    <row r="21" spans="1:14" ht="25.5" customHeight="1">
      <c r="A21" s="381" t="s">
        <v>516</v>
      </c>
      <c r="B21" s="526" t="s">
        <v>287</v>
      </c>
      <c r="C21" s="615" t="s">
        <v>508</v>
      </c>
      <c r="D21" s="615" t="s">
        <v>45</v>
      </c>
      <c r="E21" s="615" t="s">
        <v>402</v>
      </c>
      <c r="F21" s="615" t="s">
        <v>242</v>
      </c>
      <c r="G21" s="615"/>
      <c r="H21" s="616"/>
      <c r="I21" s="616"/>
      <c r="J21" s="616"/>
      <c r="K21" s="663">
        <v>519.5</v>
      </c>
      <c r="L21" s="664">
        <v>330.8</v>
      </c>
      <c r="M21" s="665">
        <v>519.7</v>
      </c>
      <c r="N21" s="666">
        <f>'Функц.2020 (прил 3) '!$L$20</f>
        <v>813.2</v>
      </c>
    </row>
    <row r="22" spans="1:14" ht="29.25" customHeight="1" hidden="1">
      <c r="A22" s="381" t="s">
        <v>517</v>
      </c>
      <c r="B22" s="667" t="s">
        <v>311</v>
      </c>
      <c r="C22" s="615" t="s">
        <v>508</v>
      </c>
      <c r="D22" s="615" t="s">
        <v>45</v>
      </c>
      <c r="E22" s="615" t="s">
        <v>402</v>
      </c>
      <c r="F22" s="615" t="s">
        <v>310</v>
      </c>
      <c r="G22" s="615"/>
      <c r="H22" s="616"/>
      <c r="I22" s="616"/>
      <c r="J22" s="616"/>
      <c r="K22" s="663"/>
      <c r="L22" s="668"/>
      <c r="M22" s="665"/>
      <c r="N22" s="666">
        <f>N23</f>
        <v>0</v>
      </c>
    </row>
    <row r="23" spans="1:14" ht="28.5" customHeight="1" hidden="1">
      <c r="A23" s="381" t="s">
        <v>518</v>
      </c>
      <c r="B23" s="669" t="s">
        <v>519</v>
      </c>
      <c r="C23" s="615" t="s">
        <v>508</v>
      </c>
      <c r="D23" s="615" t="s">
        <v>45</v>
      </c>
      <c r="E23" s="615" t="s">
        <v>402</v>
      </c>
      <c r="F23" s="615" t="s">
        <v>312</v>
      </c>
      <c r="G23" s="615"/>
      <c r="H23" s="616"/>
      <c r="I23" s="616"/>
      <c r="J23" s="616"/>
      <c r="K23" s="663"/>
      <c r="L23" s="668"/>
      <c r="M23" s="665"/>
      <c r="N23" s="666"/>
    </row>
    <row r="24" spans="1:14" ht="30" customHeight="1">
      <c r="A24" s="654" t="s">
        <v>520</v>
      </c>
      <c r="B24" s="661" t="s">
        <v>221</v>
      </c>
      <c r="C24" s="662" t="s">
        <v>508</v>
      </c>
      <c r="D24" s="662" t="s">
        <v>45</v>
      </c>
      <c r="E24" s="612" t="s">
        <v>403</v>
      </c>
      <c r="F24" s="662"/>
      <c r="G24" s="612"/>
      <c r="H24" s="613" t="e">
        <f>#REF!</f>
        <v>#REF!</v>
      </c>
      <c r="I24" s="613" t="e">
        <f>#REF!</f>
        <v>#REF!</v>
      </c>
      <c r="J24" s="613" t="e">
        <f>#REF!</f>
        <v>#REF!</v>
      </c>
      <c r="K24" s="655" t="e">
        <f>#REF!</f>
        <v>#REF!</v>
      </c>
      <c r="L24" s="655" t="e">
        <f>#REF!</f>
        <v>#REF!</v>
      </c>
      <c r="M24" s="655" t="e">
        <f>#REF!</f>
        <v>#REF!</v>
      </c>
      <c r="N24" s="656">
        <f>N25</f>
        <v>158.3</v>
      </c>
    </row>
    <row r="25" spans="1:14" ht="51" customHeight="1">
      <c r="A25" s="381" t="s">
        <v>521</v>
      </c>
      <c r="B25" s="526" t="s">
        <v>304</v>
      </c>
      <c r="C25" s="615" t="s">
        <v>508</v>
      </c>
      <c r="D25" s="615" t="s">
        <v>45</v>
      </c>
      <c r="E25" s="615" t="s">
        <v>403</v>
      </c>
      <c r="F25" s="615" t="s">
        <v>302</v>
      </c>
      <c r="G25" s="615"/>
      <c r="H25" s="616" t="e">
        <f>'[2]роспись'!H13</f>
        <v>#REF!</v>
      </c>
      <c r="I25" s="616">
        <v>530.7</v>
      </c>
      <c r="J25" s="616">
        <v>753.2</v>
      </c>
      <c r="K25" s="657">
        <v>918.9</v>
      </c>
      <c r="L25" s="658">
        <v>606.1</v>
      </c>
      <c r="M25" s="659">
        <v>918.9</v>
      </c>
      <c r="N25" s="660">
        <f>N26</f>
        <v>158.3</v>
      </c>
    </row>
    <row r="26" spans="1:14" ht="27" customHeight="1">
      <c r="A26" s="381" t="s">
        <v>522</v>
      </c>
      <c r="B26" s="526" t="s">
        <v>305</v>
      </c>
      <c r="C26" s="615" t="s">
        <v>508</v>
      </c>
      <c r="D26" s="615" t="s">
        <v>45</v>
      </c>
      <c r="E26" s="615" t="s">
        <v>403</v>
      </c>
      <c r="F26" s="615" t="s">
        <v>303</v>
      </c>
      <c r="G26" s="615"/>
      <c r="H26" s="616" t="e">
        <f>'[2]роспись'!H14</f>
        <v>#REF!</v>
      </c>
      <c r="I26" s="616">
        <v>530.7</v>
      </c>
      <c r="J26" s="616">
        <v>753.2</v>
      </c>
      <c r="K26" s="657">
        <v>918.9</v>
      </c>
      <c r="L26" s="658">
        <v>606.1</v>
      </c>
      <c r="M26" s="659">
        <v>918.9</v>
      </c>
      <c r="N26" s="660">
        <f>'Функц.2020 (прил 3) '!$L$25</f>
        <v>158.3</v>
      </c>
    </row>
    <row r="27" spans="1:14" ht="27" customHeight="1">
      <c r="A27" s="670" t="s">
        <v>61</v>
      </c>
      <c r="B27" s="650" t="s">
        <v>85</v>
      </c>
      <c r="C27" s="615" t="s">
        <v>508</v>
      </c>
      <c r="D27" s="615" t="s">
        <v>30</v>
      </c>
      <c r="E27" s="615"/>
      <c r="F27" s="615"/>
      <c r="G27" s="615"/>
      <c r="H27" s="616"/>
      <c r="I27" s="616"/>
      <c r="J27" s="616"/>
      <c r="K27" s="657"/>
      <c r="L27" s="671"/>
      <c r="M27" s="659"/>
      <c r="N27" s="656">
        <f>N28</f>
        <v>84</v>
      </c>
    </row>
    <row r="28" spans="1:14" ht="36">
      <c r="A28" s="672" t="s">
        <v>74</v>
      </c>
      <c r="B28" s="673" t="s">
        <v>245</v>
      </c>
      <c r="C28" s="612" t="s">
        <v>508</v>
      </c>
      <c r="D28" s="612" t="s">
        <v>178</v>
      </c>
      <c r="E28" s="612" t="s">
        <v>374</v>
      </c>
      <c r="F28" s="612"/>
      <c r="G28" s="615"/>
      <c r="H28" s="616">
        <f>H30</f>
        <v>70</v>
      </c>
      <c r="I28" s="616">
        <f aca="true" t="shared" si="1" ref="I28:N28">I30</f>
        <v>0</v>
      </c>
      <c r="J28" s="616">
        <f t="shared" si="1"/>
        <v>20</v>
      </c>
      <c r="K28" s="655">
        <f t="shared" si="1"/>
        <v>60</v>
      </c>
      <c r="L28" s="655">
        <f t="shared" si="1"/>
        <v>30</v>
      </c>
      <c r="M28" s="655">
        <f t="shared" si="1"/>
        <v>60</v>
      </c>
      <c r="N28" s="656">
        <f t="shared" si="1"/>
        <v>84</v>
      </c>
    </row>
    <row r="29" spans="1:14" ht="24">
      <c r="A29" s="674" t="s">
        <v>59</v>
      </c>
      <c r="B29" s="629" t="s">
        <v>311</v>
      </c>
      <c r="C29" s="615" t="s">
        <v>508</v>
      </c>
      <c r="D29" s="615" t="s">
        <v>178</v>
      </c>
      <c r="E29" s="615" t="s">
        <v>374</v>
      </c>
      <c r="F29" s="615" t="s">
        <v>310</v>
      </c>
      <c r="G29" s="615"/>
      <c r="H29" s="616">
        <v>70</v>
      </c>
      <c r="I29" s="616"/>
      <c r="J29" s="616">
        <v>20</v>
      </c>
      <c r="K29" s="657">
        <v>60</v>
      </c>
      <c r="L29" s="664">
        <v>30</v>
      </c>
      <c r="M29" s="665">
        <v>60</v>
      </c>
      <c r="N29" s="660">
        <f>N30</f>
        <v>84</v>
      </c>
    </row>
    <row r="30" spans="1:14" ht="24.75" thickBot="1">
      <c r="A30" s="674" t="s">
        <v>58</v>
      </c>
      <c r="B30" s="629" t="s">
        <v>313</v>
      </c>
      <c r="C30" s="615" t="s">
        <v>508</v>
      </c>
      <c r="D30" s="615" t="s">
        <v>178</v>
      </c>
      <c r="E30" s="615" t="s">
        <v>374</v>
      </c>
      <c r="F30" s="615" t="s">
        <v>312</v>
      </c>
      <c r="G30" s="615"/>
      <c r="H30" s="616">
        <v>70</v>
      </c>
      <c r="I30" s="616"/>
      <c r="J30" s="616">
        <v>20</v>
      </c>
      <c r="K30" s="657">
        <v>60</v>
      </c>
      <c r="L30" s="664">
        <v>30</v>
      </c>
      <c r="M30" s="665">
        <v>60</v>
      </c>
      <c r="N30" s="660">
        <f>'Функц.2020 (прил 3) '!$L$28</f>
        <v>84</v>
      </c>
    </row>
    <row r="31" spans="1:14" ht="27" customHeight="1" hidden="1">
      <c r="A31" s="381" t="s">
        <v>523</v>
      </c>
      <c r="B31" s="650" t="s">
        <v>85</v>
      </c>
      <c r="C31" s="612" t="s">
        <v>524</v>
      </c>
      <c r="D31" s="612" t="s">
        <v>30</v>
      </c>
      <c r="E31" s="615"/>
      <c r="F31" s="615"/>
      <c r="G31" s="615"/>
      <c r="H31" s="616"/>
      <c r="I31" s="616"/>
      <c r="J31" s="616"/>
      <c r="K31" s="659"/>
      <c r="L31" s="658"/>
      <c r="M31" s="659"/>
      <c r="N31" s="656">
        <f>N32</f>
        <v>0</v>
      </c>
    </row>
    <row r="32" spans="1:16" ht="24.75" customHeight="1" hidden="1">
      <c r="A32" s="672" t="s">
        <v>74</v>
      </c>
      <c r="B32" s="673" t="s">
        <v>438</v>
      </c>
      <c r="C32" s="620" t="s">
        <v>524</v>
      </c>
      <c r="D32" s="612" t="s">
        <v>439</v>
      </c>
      <c r="E32" s="612" t="s">
        <v>442</v>
      </c>
      <c r="F32" s="612"/>
      <c r="G32" s="612"/>
      <c r="H32" s="612"/>
      <c r="I32" s="612"/>
      <c r="J32" s="612"/>
      <c r="K32" s="612"/>
      <c r="L32" s="612"/>
      <c r="M32" s="612"/>
      <c r="N32" s="656">
        <f>N33</f>
        <v>0</v>
      </c>
      <c r="O32" s="521"/>
      <c r="P32" s="522"/>
    </row>
    <row r="33" spans="1:16" ht="23.25" customHeight="1" hidden="1">
      <c r="A33" s="674" t="s">
        <v>59</v>
      </c>
      <c r="B33" s="675" t="s">
        <v>440</v>
      </c>
      <c r="C33" s="676" t="s">
        <v>524</v>
      </c>
      <c r="D33" s="676" t="s">
        <v>439</v>
      </c>
      <c r="E33" s="676" t="s">
        <v>442</v>
      </c>
      <c r="F33" s="676" t="s">
        <v>308</v>
      </c>
      <c r="G33" s="677"/>
      <c r="H33" s="678"/>
      <c r="I33" s="678"/>
      <c r="J33" s="678"/>
      <c r="K33" s="679"/>
      <c r="L33" s="680"/>
      <c r="M33" s="680"/>
      <c r="N33" s="660">
        <f>N34</f>
        <v>0</v>
      </c>
      <c r="O33" s="523"/>
      <c r="P33" s="524"/>
    </row>
    <row r="34" spans="1:16" ht="30.75" customHeight="1" hidden="1">
      <c r="A34" s="681" t="s">
        <v>58</v>
      </c>
      <c r="B34" s="682" t="s">
        <v>441</v>
      </c>
      <c r="C34" s="683" t="s">
        <v>524</v>
      </c>
      <c r="D34" s="683" t="s">
        <v>439</v>
      </c>
      <c r="E34" s="683" t="s">
        <v>442</v>
      </c>
      <c r="F34" s="683" t="s">
        <v>242</v>
      </c>
      <c r="G34" s="684"/>
      <c r="H34" s="685"/>
      <c r="I34" s="685"/>
      <c r="J34" s="685"/>
      <c r="K34" s="686"/>
      <c r="L34" s="687"/>
      <c r="M34" s="687"/>
      <c r="N34" s="666">
        <v>0</v>
      </c>
      <c r="O34" s="523"/>
      <c r="P34" s="524"/>
    </row>
    <row r="35" spans="1:16" ht="39" customHeight="1" thickBot="1">
      <c r="A35" s="688" t="s">
        <v>523</v>
      </c>
      <c r="B35" s="644" t="s">
        <v>11</v>
      </c>
      <c r="C35" s="645" t="s">
        <v>524</v>
      </c>
      <c r="D35" s="645"/>
      <c r="E35" s="645"/>
      <c r="F35" s="645"/>
      <c r="G35" s="689"/>
      <c r="H35" s="690"/>
      <c r="I35" s="690"/>
      <c r="J35" s="690"/>
      <c r="K35" s="691"/>
      <c r="L35" s="692"/>
      <c r="M35" s="692"/>
      <c r="N35" s="693">
        <f>N36</f>
        <v>3339.1</v>
      </c>
      <c r="O35" s="558"/>
      <c r="P35" s="558"/>
    </row>
    <row r="36" spans="1:16" ht="30.75" customHeight="1">
      <c r="A36" s="649" t="s">
        <v>509</v>
      </c>
      <c r="B36" s="650" t="s">
        <v>85</v>
      </c>
      <c r="C36" s="651" t="s">
        <v>524</v>
      </c>
      <c r="D36" s="651" t="s">
        <v>30</v>
      </c>
      <c r="E36" s="694"/>
      <c r="F36" s="694"/>
      <c r="G36" s="695"/>
      <c r="H36" s="696"/>
      <c r="I36" s="696"/>
      <c r="J36" s="696"/>
      <c r="K36" s="697"/>
      <c r="L36" s="698"/>
      <c r="M36" s="698"/>
      <c r="N36" s="699">
        <f>N37</f>
        <v>3339.1</v>
      </c>
      <c r="O36" s="558"/>
      <c r="P36" s="558"/>
    </row>
    <row r="37" spans="1:16" ht="30.75" customHeight="1">
      <c r="A37" s="700" t="s">
        <v>74</v>
      </c>
      <c r="B37" s="701" t="s">
        <v>12</v>
      </c>
      <c r="C37" s="702" t="s">
        <v>524</v>
      </c>
      <c r="D37" s="702" t="s">
        <v>439</v>
      </c>
      <c r="E37" s="702" t="s">
        <v>13</v>
      </c>
      <c r="F37" s="702"/>
      <c r="G37" s="695"/>
      <c r="H37" s="696"/>
      <c r="I37" s="696"/>
      <c r="J37" s="696"/>
      <c r="K37" s="697"/>
      <c r="L37" s="698"/>
      <c r="M37" s="698"/>
      <c r="N37" s="703">
        <f>N38+N39</f>
        <v>3339.1</v>
      </c>
      <c r="O37" s="558"/>
      <c r="P37" s="558"/>
    </row>
    <row r="38" spans="1:16" ht="30.75" customHeight="1">
      <c r="A38" s="700" t="s">
        <v>59</v>
      </c>
      <c r="B38" s="704" t="s">
        <v>497</v>
      </c>
      <c r="C38" s="702" t="s">
        <v>524</v>
      </c>
      <c r="D38" s="702" t="s">
        <v>439</v>
      </c>
      <c r="E38" s="702" t="s">
        <v>13</v>
      </c>
      <c r="F38" s="702" t="s">
        <v>303</v>
      </c>
      <c r="G38" s="695"/>
      <c r="H38" s="696"/>
      <c r="I38" s="696"/>
      <c r="J38" s="696"/>
      <c r="K38" s="697"/>
      <c r="L38" s="698"/>
      <c r="M38" s="698"/>
      <c r="N38" s="703">
        <v>1022</v>
      </c>
      <c r="O38" s="558"/>
      <c r="P38" s="558"/>
    </row>
    <row r="39" spans="1:16" ht="30.75" customHeight="1" thickBot="1">
      <c r="A39" s="700" t="s">
        <v>75</v>
      </c>
      <c r="B39" s="704" t="s">
        <v>499</v>
      </c>
      <c r="C39" s="702" t="s">
        <v>524</v>
      </c>
      <c r="D39" s="702" t="s">
        <v>439</v>
      </c>
      <c r="E39" s="702" t="s">
        <v>13</v>
      </c>
      <c r="F39" s="702" t="s">
        <v>242</v>
      </c>
      <c r="G39" s="695"/>
      <c r="H39" s="696"/>
      <c r="I39" s="696"/>
      <c r="J39" s="696"/>
      <c r="K39" s="697"/>
      <c r="L39" s="698"/>
      <c r="M39" s="698"/>
      <c r="N39" s="703">
        <v>2317.1</v>
      </c>
      <c r="O39" s="558"/>
      <c r="P39" s="558"/>
    </row>
    <row r="40" spans="1:24" ht="36.75" thickBot="1">
      <c r="A40" s="688" t="s">
        <v>523</v>
      </c>
      <c r="B40" s="644" t="s">
        <v>525</v>
      </c>
      <c r="C40" s="645" t="s">
        <v>526</v>
      </c>
      <c r="D40" s="645"/>
      <c r="E40" s="645"/>
      <c r="F40" s="645"/>
      <c r="G40" s="651"/>
      <c r="H40" s="705" t="e">
        <f>H41+#REF!+#REF!</f>
        <v>#REF!</v>
      </c>
      <c r="I40" s="705" t="e">
        <f>I41+#REF!+#REF!</f>
        <v>#REF!</v>
      </c>
      <c r="J40" s="705" t="e">
        <f>J41+#REF!+#REF!</f>
        <v>#REF!</v>
      </c>
      <c r="K40" s="647" t="e">
        <f>K41+K101+K127+K170+K182+K201+K212+K224+K119</f>
        <v>#REF!</v>
      </c>
      <c r="L40" s="647" t="e">
        <f>L41+L101+L127+L170+L182+L201+L212+L224+L119</f>
        <v>#REF!</v>
      </c>
      <c r="M40" s="647" t="e">
        <f>M41+M101+M127+M170+M182+M201+M212+M224+M119</f>
        <v>#REF!</v>
      </c>
      <c r="N40" s="648">
        <f>N41+N101+N109+N127+N170+N182+N203+N209+N215+N224</f>
        <v>140306</v>
      </c>
      <c r="X40" s="267"/>
    </row>
    <row r="41" spans="1:18" ht="29.25" customHeight="1">
      <c r="A41" s="649" t="s">
        <v>509</v>
      </c>
      <c r="B41" s="650" t="s">
        <v>85</v>
      </c>
      <c r="C41" s="651" t="s">
        <v>526</v>
      </c>
      <c r="D41" s="651" t="s">
        <v>30</v>
      </c>
      <c r="E41" s="651"/>
      <c r="F41" s="651"/>
      <c r="G41" s="612"/>
      <c r="H41" s="613">
        <f>H42+H46+H49</f>
        <v>8904.7</v>
      </c>
      <c r="I41" s="613">
        <f>I42+I46</f>
        <v>5717.900000000001</v>
      </c>
      <c r="J41" s="613">
        <f>J42+J46</f>
        <v>8892</v>
      </c>
      <c r="K41" s="652" t="e">
        <f>K42+K66+K70</f>
        <v>#REF!</v>
      </c>
      <c r="L41" s="652" t="e">
        <f>L42+L66+L70</f>
        <v>#REF!</v>
      </c>
      <c r="M41" s="652" t="e">
        <f>M42+M66+M70</f>
        <v>#REF!</v>
      </c>
      <c r="N41" s="653">
        <f>N42+N66+N70+N57</f>
        <v>12371.5</v>
      </c>
      <c r="P41" s="267" t="e">
        <f>#REF!</f>
        <v>#REF!</v>
      </c>
      <c r="Q41" s="267"/>
      <c r="R41" s="267"/>
    </row>
    <row r="42" spans="1:25" ht="48">
      <c r="A42" s="706" t="s">
        <v>527</v>
      </c>
      <c r="B42" s="611" t="s">
        <v>241</v>
      </c>
      <c r="C42" s="612" t="s">
        <v>526</v>
      </c>
      <c r="D42" s="612" t="s">
        <v>60</v>
      </c>
      <c r="E42" s="612"/>
      <c r="F42" s="612"/>
      <c r="G42" s="615"/>
      <c r="H42" s="616">
        <f>H44</f>
        <v>812</v>
      </c>
      <c r="I42" s="616">
        <f>I44</f>
        <v>615.3</v>
      </c>
      <c r="J42" s="616">
        <f>J44</f>
        <v>812</v>
      </c>
      <c r="K42" s="655" t="e">
        <f>K44+K47+K57</f>
        <v>#REF!</v>
      </c>
      <c r="L42" s="655" t="e">
        <f>L44+L47+L57</f>
        <v>#REF!</v>
      </c>
      <c r="M42" s="655" t="e">
        <f>M44+M47+M57</f>
        <v>#REF!</v>
      </c>
      <c r="N42" s="656">
        <f>N43+N60</f>
        <v>9925.9</v>
      </c>
      <c r="P42" s="267">
        <f>N42+N11+N15-N57-N60</f>
        <v>12876.2</v>
      </c>
      <c r="Y42" s="267"/>
    </row>
    <row r="43" spans="1:16" s="2" customFormat="1" ht="39.75" customHeight="1">
      <c r="A43" s="706" t="s">
        <v>59</v>
      </c>
      <c r="B43" s="611" t="s">
        <v>406</v>
      </c>
      <c r="C43" s="612" t="s">
        <v>526</v>
      </c>
      <c r="D43" s="612" t="s">
        <v>60</v>
      </c>
      <c r="E43" s="612" t="s">
        <v>369</v>
      </c>
      <c r="F43" s="612"/>
      <c r="G43" s="612"/>
      <c r="H43" s="613">
        <v>812</v>
      </c>
      <c r="I43" s="613">
        <v>615.3</v>
      </c>
      <c r="J43" s="613">
        <v>812</v>
      </c>
      <c r="K43" s="655">
        <f aca="true" t="shared" si="2" ref="K43:N44">K45</f>
        <v>941.8</v>
      </c>
      <c r="L43" s="655">
        <f t="shared" si="2"/>
        <v>625.6</v>
      </c>
      <c r="M43" s="655">
        <f t="shared" si="2"/>
        <v>941.8</v>
      </c>
      <c r="N43" s="656">
        <f>N44+N47+N54</f>
        <v>9025.1</v>
      </c>
      <c r="P43" s="117" t="e">
        <f>P40-P41</f>
        <v>#REF!</v>
      </c>
    </row>
    <row r="44" spans="1:16" ht="27.75" customHeight="1">
      <c r="A44" s="706" t="s">
        <v>59</v>
      </c>
      <c r="B44" s="611" t="s">
        <v>528</v>
      </c>
      <c r="C44" s="612" t="s">
        <v>526</v>
      </c>
      <c r="D44" s="612" t="s">
        <v>60</v>
      </c>
      <c r="E44" s="612" t="s">
        <v>404</v>
      </c>
      <c r="F44" s="612"/>
      <c r="G44" s="612"/>
      <c r="H44" s="613">
        <v>812</v>
      </c>
      <c r="I44" s="613">
        <v>615.3</v>
      </c>
      <c r="J44" s="613">
        <v>812</v>
      </c>
      <c r="K44" s="655">
        <f t="shared" si="2"/>
        <v>941.8</v>
      </c>
      <c r="L44" s="655">
        <f t="shared" si="2"/>
        <v>625.6</v>
      </c>
      <c r="M44" s="655">
        <f t="shared" si="2"/>
        <v>941.8</v>
      </c>
      <c r="N44" s="656">
        <f t="shared" si="2"/>
        <v>1326</v>
      </c>
      <c r="P44" s="267" t="e">
        <f>P41-P42</f>
        <v>#REF!</v>
      </c>
    </row>
    <row r="45" spans="1:14" ht="48">
      <c r="A45" s="674" t="s">
        <v>58</v>
      </c>
      <c r="B45" s="526" t="s">
        <v>306</v>
      </c>
      <c r="C45" s="615" t="s">
        <v>526</v>
      </c>
      <c r="D45" s="615" t="s">
        <v>60</v>
      </c>
      <c r="E45" s="615" t="s">
        <v>404</v>
      </c>
      <c r="F45" s="615" t="s">
        <v>302</v>
      </c>
      <c r="G45" s="615"/>
      <c r="H45" s="616">
        <f aca="true" t="shared" si="3" ref="H45:J46">H46</f>
        <v>8080.000000000001</v>
      </c>
      <c r="I45" s="616">
        <f t="shared" si="3"/>
        <v>5102.6</v>
      </c>
      <c r="J45" s="616">
        <f t="shared" si="3"/>
        <v>8080</v>
      </c>
      <c r="K45" s="657">
        <v>941.8</v>
      </c>
      <c r="L45" s="616">
        <v>625.6</v>
      </c>
      <c r="M45" s="616">
        <v>941.8</v>
      </c>
      <c r="N45" s="660">
        <f>N46</f>
        <v>1326</v>
      </c>
    </row>
    <row r="46" spans="1:25" ht="36" customHeight="1">
      <c r="A46" s="674" t="s">
        <v>510</v>
      </c>
      <c r="B46" s="526" t="s">
        <v>307</v>
      </c>
      <c r="C46" s="615" t="s">
        <v>526</v>
      </c>
      <c r="D46" s="615" t="s">
        <v>60</v>
      </c>
      <c r="E46" s="615" t="s">
        <v>404</v>
      </c>
      <c r="F46" s="615" t="s">
        <v>303</v>
      </c>
      <c r="G46" s="615"/>
      <c r="H46" s="616">
        <f t="shared" si="3"/>
        <v>8080.000000000001</v>
      </c>
      <c r="I46" s="616">
        <f t="shared" si="3"/>
        <v>5102.6</v>
      </c>
      <c r="J46" s="616">
        <f t="shared" si="3"/>
        <v>8080</v>
      </c>
      <c r="K46" s="657">
        <v>941.8</v>
      </c>
      <c r="L46" s="616">
        <v>625.6</v>
      </c>
      <c r="M46" s="616">
        <v>941.8</v>
      </c>
      <c r="N46" s="660">
        <v>1326</v>
      </c>
      <c r="X46" s="267"/>
      <c r="Y46" s="267"/>
    </row>
    <row r="47" spans="1:14" ht="31.5" customHeight="1">
      <c r="A47" s="672" t="s">
        <v>75</v>
      </c>
      <c r="B47" s="673" t="s">
        <v>172</v>
      </c>
      <c r="C47" s="612" t="s">
        <v>526</v>
      </c>
      <c r="D47" s="612" t="s">
        <v>60</v>
      </c>
      <c r="E47" s="612" t="s">
        <v>405</v>
      </c>
      <c r="F47" s="612"/>
      <c r="G47" s="612"/>
      <c r="H47" s="613">
        <f>'[2]роспись'!H22</f>
        <v>8080.000000000001</v>
      </c>
      <c r="I47" s="613">
        <v>5102.6</v>
      </c>
      <c r="J47" s="613">
        <v>8080</v>
      </c>
      <c r="K47" s="655" t="e">
        <f>K49+K51</f>
        <v>#REF!</v>
      </c>
      <c r="L47" s="655" t="e">
        <f>L49+L51</f>
        <v>#REF!</v>
      </c>
      <c r="M47" s="655" t="e">
        <f>M49+M51</f>
        <v>#REF!</v>
      </c>
      <c r="N47" s="656">
        <f>N48+N50+N52</f>
        <v>7252.2</v>
      </c>
    </row>
    <row r="48" spans="1:14" ht="48">
      <c r="A48" s="707" t="s">
        <v>175</v>
      </c>
      <c r="B48" s="526" t="s">
        <v>306</v>
      </c>
      <c r="C48" s="615" t="s">
        <v>526</v>
      </c>
      <c r="D48" s="615" t="s">
        <v>60</v>
      </c>
      <c r="E48" s="615" t="s">
        <v>405</v>
      </c>
      <c r="F48" s="615" t="s">
        <v>302</v>
      </c>
      <c r="G48" s="676" t="s">
        <v>86</v>
      </c>
      <c r="H48" s="708">
        <f>H49</f>
        <v>12.7</v>
      </c>
      <c r="I48" s="708">
        <f>I49</f>
        <v>0</v>
      </c>
      <c r="J48" s="708" t="str">
        <f>J49</f>
        <v>12,7</v>
      </c>
      <c r="K48" s="657">
        <v>8250.9</v>
      </c>
      <c r="L48" s="708">
        <v>5168.5</v>
      </c>
      <c r="M48" s="708">
        <v>8250.9</v>
      </c>
      <c r="N48" s="709">
        <f>N49</f>
        <v>5697.4</v>
      </c>
    </row>
    <row r="49" spans="1:14" ht="24">
      <c r="A49" s="707" t="s">
        <v>529</v>
      </c>
      <c r="B49" s="526" t="s">
        <v>307</v>
      </c>
      <c r="C49" s="615" t="s">
        <v>526</v>
      </c>
      <c r="D49" s="615" t="s">
        <v>60</v>
      </c>
      <c r="E49" s="615" t="s">
        <v>405</v>
      </c>
      <c r="F49" s="615" t="s">
        <v>303</v>
      </c>
      <c r="G49" s="676" t="s">
        <v>86</v>
      </c>
      <c r="H49" s="708">
        <f>H51</f>
        <v>12.7</v>
      </c>
      <c r="I49" s="708">
        <f>I51</f>
        <v>0</v>
      </c>
      <c r="J49" s="708" t="str">
        <f>J51</f>
        <v>12,7</v>
      </c>
      <c r="K49" s="657">
        <v>8250.9</v>
      </c>
      <c r="L49" s="708">
        <v>5168.5</v>
      </c>
      <c r="M49" s="708">
        <v>8250.9</v>
      </c>
      <c r="N49" s="709">
        <v>5697.4</v>
      </c>
    </row>
    <row r="50" spans="1:14" ht="32.25" customHeight="1">
      <c r="A50" s="707" t="s">
        <v>530</v>
      </c>
      <c r="B50" s="667" t="s">
        <v>309</v>
      </c>
      <c r="C50" s="615" t="s">
        <v>526</v>
      </c>
      <c r="D50" s="615" t="s">
        <v>60</v>
      </c>
      <c r="E50" s="615" t="s">
        <v>405</v>
      </c>
      <c r="F50" s="615" t="s">
        <v>308</v>
      </c>
      <c r="G50" s="676" t="s">
        <v>86</v>
      </c>
      <c r="H50" s="708" t="e">
        <f>'[2]роспись'!H36</f>
        <v>#REF!</v>
      </c>
      <c r="I50" s="708"/>
      <c r="J50" s="708" t="s">
        <v>186</v>
      </c>
      <c r="K50" s="657" t="e">
        <f>K51+#REF!</f>
        <v>#REF!</v>
      </c>
      <c r="L50" s="657" t="e">
        <f>L51+#REF!</f>
        <v>#REF!</v>
      </c>
      <c r="M50" s="657" t="e">
        <f>M51+#REF!</f>
        <v>#REF!</v>
      </c>
      <c r="N50" s="660">
        <f>N51</f>
        <v>1534.8</v>
      </c>
    </row>
    <row r="51" spans="1:14" ht="30" customHeight="1">
      <c r="A51" s="707" t="s">
        <v>531</v>
      </c>
      <c r="B51" s="526" t="s">
        <v>287</v>
      </c>
      <c r="C51" s="615" t="s">
        <v>526</v>
      </c>
      <c r="D51" s="615" t="s">
        <v>60</v>
      </c>
      <c r="E51" s="615" t="s">
        <v>405</v>
      </c>
      <c r="F51" s="615" t="s">
        <v>242</v>
      </c>
      <c r="G51" s="676" t="s">
        <v>86</v>
      </c>
      <c r="H51" s="708">
        <f>'[2]роспись'!H37</f>
        <v>12.7</v>
      </c>
      <c r="I51" s="708"/>
      <c r="J51" s="708" t="s">
        <v>186</v>
      </c>
      <c r="K51" s="657" t="e">
        <f>#REF!+#REF!</f>
        <v>#REF!</v>
      </c>
      <c r="L51" s="657" t="e">
        <f>#REF!+#REF!</f>
        <v>#REF!</v>
      </c>
      <c r="M51" s="657" t="e">
        <f>#REF!+#REF!</f>
        <v>#REF!</v>
      </c>
      <c r="N51" s="660">
        <v>1534.8</v>
      </c>
    </row>
    <row r="52" spans="1:14" ht="12.75" customHeight="1">
      <c r="A52" s="707" t="s">
        <v>532</v>
      </c>
      <c r="B52" s="667" t="s">
        <v>311</v>
      </c>
      <c r="C52" s="710" t="s">
        <v>526</v>
      </c>
      <c r="D52" s="710" t="s">
        <v>60</v>
      </c>
      <c r="E52" s="615" t="s">
        <v>405</v>
      </c>
      <c r="F52" s="615" t="s">
        <v>310</v>
      </c>
      <c r="G52" s="676" t="s">
        <v>86</v>
      </c>
      <c r="H52" s="708" t="e">
        <f>'[2]роспись'!H38</f>
        <v>#REF!</v>
      </c>
      <c r="I52" s="708"/>
      <c r="J52" s="708" t="s">
        <v>186</v>
      </c>
      <c r="K52" s="657" t="e">
        <f>K53+#REF!</f>
        <v>#REF!</v>
      </c>
      <c r="L52" s="657" t="e">
        <f>L53+#REF!</f>
        <v>#REF!</v>
      </c>
      <c r="M52" s="657" t="e">
        <f>M53+#REF!</f>
        <v>#REF!</v>
      </c>
      <c r="N52" s="660">
        <f>N53</f>
        <v>20</v>
      </c>
    </row>
    <row r="53" spans="1:14" ht="27.75" customHeight="1">
      <c r="A53" s="707" t="s">
        <v>533</v>
      </c>
      <c r="B53" s="669" t="s">
        <v>519</v>
      </c>
      <c r="C53" s="710" t="s">
        <v>526</v>
      </c>
      <c r="D53" s="710" t="s">
        <v>60</v>
      </c>
      <c r="E53" s="615" t="s">
        <v>405</v>
      </c>
      <c r="F53" s="615" t="s">
        <v>312</v>
      </c>
      <c r="G53" s="676" t="s">
        <v>86</v>
      </c>
      <c r="H53" s="708" t="e">
        <f>'[2]роспись'!H39</f>
        <v>#REF!</v>
      </c>
      <c r="I53" s="708"/>
      <c r="J53" s="708" t="s">
        <v>186</v>
      </c>
      <c r="K53" s="657" t="e">
        <f>#REF!+#REF!</f>
        <v>#REF!</v>
      </c>
      <c r="L53" s="657" t="e">
        <f>#REF!+#REF!</f>
        <v>#REF!</v>
      </c>
      <c r="M53" s="657" t="e">
        <f>#REF!+#REF!</f>
        <v>#REF!</v>
      </c>
      <c r="N53" s="660">
        <v>20</v>
      </c>
    </row>
    <row r="54" spans="1:14" ht="33" customHeight="1">
      <c r="A54" s="672" t="s">
        <v>231</v>
      </c>
      <c r="B54" s="711" t="s">
        <v>428</v>
      </c>
      <c r="C54" s="677" t="s">
        <v>526</v>
      </c>
      <c r="D54" s="677" t="s">
        <v>60</v>
      </c>
      <c r="E54" s="612" t="s">
        <v>431</v>
      </c>
      <c r="F54" s="612"/>
      <c r="G54" s="620"/>
      <c r="H54" s="712"/>
      <c r="I54" s="712"/>
      <c r="J54" s="712"/>
      <c r="K54" s="655"/>
      <c r="L54" s="655"/>
      <c r="M54" s="655"/>
      <c r="N54" s="656">
        <f>N55</f>
        <v>446.9</v>
      </c>
    </row>
    <row r="55" spans="1:14" ht="20.25" customHeight="1">
      <c r="A55" s="707" t="s">
        <v>534</v>
      </c>
      <c r="B55" s="525" t="s">
        <v>429</v>
      </c>
      <c r="C55" s="710" t="s">
        <v>526</v>
      </c>
      <c r="D55" s="710" t="s">
        <v>60</v>
      </c>
      <c r="E55" s="615" t="s">
        <v>431</v>
      </c>
      <c r="F55" s="615" t="s">
        <v>302</v>
      </c>
      <c r="G55" s="676"/>
      <c r="H55" s="708"/>
      <c r="I55" s="708"/>
      <c r="J55" s="708"/>
      <c r="K55" s="657"/>
      <c r="L55" s="657"/>
      <c r="M55" s="657"/>
      <c r="N55" s="660">
        <f>N56</f>
        <v>446.9</v>
      </c>
    </row>
    <row r="56" spans="1:14" ht="20.25" customHeight="1">
      <c r="A56" s="707" t="s">
        <v>535</v>
      </c>
      <c r="B56" s="525" t="s">
        <v>430</v>
      </c>
      <c r="C56" s="710" t="s">
        <v>526</v>
      </c>
      <c r="D56" s="710" t="s">
        <v>60</v>
      </c>
      <c r="E56" s="615" t="s">
        <v>431</v>
      </c>
      <c r="F56" s="615" t="s">
        <v>303</v>
      </c>
      <c r="G56" s="676"/>
      <c r="H56" s="708"/>
      <c r="I56" s="708"/>
      <c r="J56" s="708"/>
      <c r="K56" s="657"/>
      <c r="L56" s="657"/>
      <c r="M56" s="657"/>
      <c r="N56" s="660">
        <v>446.9</v>
      </c>
    </row>
    <row r="57" spans="1:14" ht="51" customHeight="1">
      <c r="A57" s="672" t="s">
        <v>536</v>
      </c>
      <c r="B57" s="673" t="s">
        <v>409</v>
      </c>
      <c r="C57" s="620" t="s">
        <v>526</v>
      </c>
      <c r="D57" s="620" t="s">
        <v>178</v>
      </c>
      <c r="E57" s="620" t="s">
        <v>410</v>
      </c>
      <c r="F57" s="620"/>
      <c r="G57" s="620"/>
      <c r="H57" s="712">
        <v>50</v>
      </c>
      <c r="I57" s="613"/>
      <c r="J57" s="613"/>
      <c r="K57" s="713" t="e">
        <f>#REF!</f>
        <v>#REF!</v>
      </c>
      <c r="L57" s="713" t="e">
        <f>#REF!</f>
        <v>#REF!</v>
      </c>
      <c r="M57" s="713">
        <v>5</v>
      </c>
      <c r="N57" s="714">
        <f>N58</f>
        <v>7.8</v>
      </c>
    </row>
    <row r="58" spans="1:14" ht="25.5" customHeight="1">
      <c r="A58" s="707" t="s">
        <v>537</v>
      </c>
      <c r="B58" s="667" t="s">
        <v>309</v>
      </c>
      <c r="C58" s="615" t="s">
        <v>526</v>
      </c>
      <c r="D58" s="615" t="s">
        <v>178</v>
      </c>
      <c r="E58" s="676" t="s">
        <v>410</v>
      </c>
      <c r="F58" s="615" t="s">
        <v>308</v>
      </c>
      <c r="G58" s="676" t="s">
        <v>86</v>
      </c>
      <c r="H58" s="708" t="e">
        <f>'[2]роспись'!H39</f>
        <v>#REF!</v>
      </c>
      <c r="I58" s="708"/>
      <c r="J58" s="708" t="s">
        <v>186</v>
      </c>
      <c r="K58" s="657" t="e">
        <f>K59+#REF!</f>
        <v>#REF!</v>
      </c>
      <c r="L58" s="657" t="e">
        <f>L59+#REF!</f>
        <v>#REF!</v>
      </c>
      <c r="M58" s="657" t="e">
        <f>M59+#REF!</f>
        <v>#REF!</v>
      </c>
      <c r="N58" s="660">
        <f>N59</f>
        <v>7.8</v>
      </c>
    </row>
    <row r="59" spans="1:14" ht="27.75" customHeight="1">
      <c r="A59" s="707" t="s">
        <v>538</v>
      </c>
      <c r="B59" s="526" t="s">
        <v>287</v>
      </c>
      <c r="C59" s="615" t="s">
        <v>526</v>
      </c>
      <c r="D59" s="615" t="s">
        <v>178</v>
      </c>
      <c r="E59" s="676" t="s">
        <v>410</v>
      </c>
      <c r="F59" s="615" t="s">
        <v>242</v>
      </c>
      <c r="G59" s="676" t="s">
        <v>86</v>
      </c>
      <c r="H59" s="708" t="e">
        <f>'[2]роспись'!H40</f>
        <v>#REF!</v>
      </c>
      <c r="I59" s="708"/>
      <c r="J59" s="708" t="s">
        <v>186</v>
      </c>
      <c r="K59" s="657" t="e">
        <f>#REF!+#REF!</f>
        <v>#REF!</v>
      </c>
      <c r="L59" s="657" t="e">
        <f>#REF!+#REF!</f>
        <v>#REF!</v>
      </c>
      <c r="M59" s="657" t="e">
        <f>#REF!+#REF!</f>
        <v>#REF!</v>
      </c>
      <c r="N59" s="660">
        <v>7.8</v>
      </c>
    </row>
    <row r="60" spans="1:14" ht="48">
      <c r="A60" s="672" t="s">
        <v>539</v>
      </c>
      <c r="B60" s="673" t="s">
        <v>411</v>
      </c>
      <c r="C60" s="612" t="s">
        <v>526</v>
      </c>
      <c r="D60" s="612" t="s">
        <v>60</v>
      </c>
      <c r="E60" s="620" t="s">
        <v>412</v>
      </c>
      <c r="F60" s="612"/>
      <c r="G60" s="715"/>
      <c r="H60" s="716"/>
      <c r="I60" s="717"/>
      <c r="J60" s="717"/>
      <c r="K60" s="655">
        <f>K61</f>
        <v>657.2</v>
      </c>
      <c r="L60" s="655">
        <f>L61</f>
        <v>424.8</v>
      </c>
      <c r="M60" s="655">
        <f>M61</f>
        <v>657.2</v>
      </c>
      <c r="N60" s="656">
        <f>N61</f>
        <v>900.8000000000001</v>
      </c>
    </row>
    <row r="61" spans="1:14" ht="28.5" customHeight="1">
      <c r="A61" s="707" t="s">
        <v>540</v>
      </c>
      <c r="B61" s="618" t="s">
        <v>173</v>
      </c>
      <c r="C61" s="615" t="s">
        <v>526</v>
      </c>
      <c r="D61" s="615" t="s">
        <v>60</v>
      </c>
      <c r="E61" s="676" t="s">
        <v>412</v>
      </c>
      <c r="F61" s="615"/>
      <c r="G61" s="715"/>
      <c r="H61" s="716"/>
      <c r="I61" s="717"/>
      <c r="J61" s="717"/>
      <c r="K61" s="657">
        <v>657.2</v>
      </c>
      <c r="L61" s="657">
        <v>424.8</v>
      </c>
      <c r="M61" s="657">
        <v>657.2</v>
      </c>
      <c r="N61" s="660">
        <f>N62+N64</f>
        <v>900.8000000000001</v>
      </c>
    </row>
    <row r="62" spans="1:14" ht="57" customHeight="1">
      <c r="A62" s="707" t="s">
        <v>541</v>
      </c>
      <c r="B62" s="526" t="s">
        <v>306</v>
      </c>
      <c r="C62" s="615" t="s">
        <v>526</v>
      </c>
      <c r="D62" s="615" t="s">
        <v>60</v>
      </c>
      <c r="E62" s="676" t="s">
        <v>412</v>
      </c>
      <c r="F62" s="615" t="s">
        <v>302</v>
      </c>
      <c r="G62" s="715"/>
      <c r="H62" s="716"/>
      <c r="I62" s="717"/>
      <c r="J62" s="717"/>
      <c r="K62" s="657"/>
      <c r="L62" s="657"/>
      <c r="M62" s="657"/>
      <c r="N62" s="660">
        <f>N63</f>
        <v>829.7</v>
      </c>
    </row>
    <row r="63" spans="1:14" ht="24">
      <c r="A63" s="707" t="s">
        <v>542</v>
      </c>
      <c r="B63" s="526" t="s">
        <v>307</v>
      </c>
      <c r="C63" s="615" t="s">
        <v>526</v>
      </c>
      <c r="D63" s="615" t="s">
        <v>60</v>
      </c>
      <c r="E63" s="676" t="s">
        <v>412</v>
      </c>
      <c r="F63" s="615" t="s">
        <v>303</v>
      </c>
      <c r="G63" s="715"/>
      <c r="H63" s="716"/>
      <c r="I63" s="717"/>
      <c r="J63" s="717"/>
      <c r="K63" s="657"/>
      <c r="L63" s="657"/>
      <c r="M63" s="657"/>
      <c r="N63" s="660">
        <v>829.7</v>
      </c>
    </row>
    <row r="64" spans="1:14" ht="26.25" customHeight="1">
      <c r="A64" s="707" t="s">
        <v>543</v>
      </c>
      <c r="B64" s="667" t="s">
        <v>309</v>
      </c>
      <c r="C64" s="615" t="s">
        <v>526</v>
      </c>
      <c r="D64" s="615" t="s">
        <v>60</v>
      </c>
      <c r="E64" s="676" t="s">
        <v>412</v>
      </c>
      <c r="F64" s="615" t="s">
        <v>308</v>
      </c>
      <c r="G64" s="715"/>
      <c r="H64" s="716"/>
      <c r="I64" s="717"/>
      <c r="J64" s="717"/>
      <c r="K64" s="657"/>
      <c r="L64" s="657"/>
      <c r="M64" s="657"/>
      <c r="N64" s="660">
        <f>N65</f>
        <v>71.1</v>
      </c>
    </row>
    <row r="65" spans="1:14" ht="26.25" customHeight="1">
      <c r="A65" s="707" t="s">
        <v>544</v>
      </c>
      <c r="B65" s="526" t="s">
        <v>287</v>
      </c>
      <c r="C65" s="615" t="s">
        <v>526</v>
      </c>
      <c r="D65" s="615" t="s">
        <v>60</v>
      </c>
      <c r="E65" s="676" t="s">
        <v>412</v>
      </c>
      <c r="F65" s="615" t="s">
        <v>242</v>
      </c>
      <c r="G65" s="715"/>
      <c r="H65" s="716"/>
      <c r="I65" s="717"/>
      <c r="J65" s="717"/>
      <c r="K65" s="657"/>
      <c r="L65" s="657"/>
      <c r="M65" s="657"/>
      <c r="N65" s="660">
        <v>71.1</v>
      </c>
    </row>
    <row r="66" spans="1:14" ht="12.75">
      <c r="A66" s="718" t="s">
        <v>162</v>
      </c>
      <c r="B66" s="673" t="s">
        <v>286</v>
      </c>
      <c r="C66" s="612" t="s">
        <v>526</v>
      </c>
      <c r="D66" s="612" t="s">
        <v>177</v>
      </c>
      <c r="E66" s="612"/>
      <c r="F66" s="612"/>
      <c r="G66" s="615"/>
      <c r="H66" s="616">
        <f>H67</f>
        <v>80</v>
      </c>
      <c r="I66" s="616">
        <f aca="true" t="shared" si="4" ref="I66:N66">I67</f>
        <v>69.9</v>
      </c>
      <c r="J66" s="616">
        <f t="shared" si="4"/>
        <v>80</v>
      </c>
      <c r="K66" s="719">
        <f t="shared" si="4"/>
        <v>50</v>
      </c>
      <c r="L66" s="719">
        <f t="shared" si="4"/>
        <v>0</v>
      </c>
      <c r="M66" s="719">
        <f t="shared" si="4"/>
        <v>0</v>
      </c>
      <c r="N66" s="656">
        <f t="shared" si="4"/>
        <v>20</v>
      </c>
    </row>
    <row r="67" spans="1:14" ht="12.75">
      <c r="A67" s="718" t="s">
        <v>174</v>
      </c>
      <c r="B67" s="611" t="s">
        <v>166</v>
      </c>
      <c r="C67" s="612" t="s">
        <v>526</v>
      </c>
      <c r="D67" s="620" t="s">
        <v>177</v>
      </c>
      <c r="E67" s="620" t="s">
        <v>366</v>
      </c>
      <c r="F67" s="620"/>
      <c r="G67" s="612"/>
      <c r="H67" s="613">
        <v>80</v>
      </c>
      <c r="I67" s="613">
        <v>69.9</v>
      </c>
      <c r="J67" s="613">
        <v>80</v>
      </c>
      <c r="K67" s="713">
        <f>K69</f>
        <v>50</v>
      </c>
      <c r="L67" s="713">
        <f>L69</f>
        <v>0</v>
      </c>
      <c r="M67" s="713">
        <f>M69</f>
        <v>0</v>
      </c>
      <c r="N67" s="714">
        <f>N69</f>
        <v>20</v>
      </c>
    </row>
    <row r="68" spans="1:14" ht="18" customHeight="1">
      <c r="A68" s="720" t="s">
        <v>512</v>
      </c>
      <c r="B68" s="526" t="s">
        <v>311</v>
      </c>
      <c r="C68" s="615" t="s">
        <v>526</v>
      </c>
      <c r="D68" s="676" t="s">
        <v>177</v>
      </c>
      <c r="E68" s="676" t="s">
        <v>366</v>
      </c>
      <c r="F68" s="676" t="s">
        <v>310</v>
      </c>
      <c r="G68" s="612"/>
      <c r="H68" s="721">
        <f aca="true" t="shared" si="5" ref="H68:J69">H69</f>
        <v>100</v>
      </c>
      <c r="I68" s="721">
        <f t="shared" si="5"/>
        <v>0</v>
      </c>
      <c r="J68" s="721">
        <f t="shared" si="5"/>
        <v>100</v>
      </c>
      <c r="K68" s="657">
        <v>50</v>
      </c>
      <c r="L68" s="721"/>
      <c r="M68" s="721">
        <v>0</v>
      </c>
      <c r="N68" s="660">
        <f>N69</f>
        <v>20</v>
      </c>
    </row>
    <row r="69" spans="1:14" ht="21.75" customHeight="1">
      <c r="A69" s="720" t="s">
        <v>513</v>
      </c>
      <c r="B69" s="526" t="s">
        <v>243</v>
      </c>
      <c r="C69" s="615" t="s">
        <v>526</v>
      </c>
      <c r="D69" s="676" t="s">
        <v>177</v>
      </c>
      <c r="E69" s="676" t="s">
        <v>366</v>
      </c>
      <c r="F69" s="676" t="s">
        <v>244</v>
      </c>
      <c r="G69" s="612"/>
      <c r="H69" s="721">
        <f t="shared" si="5"/>
        <v>100</v>
      </c>
      <c r="I69" s="721">
        <f t="shared" si="5"/>
        <v>0</v>
      </c>
      <c r="J69" s="721">
        <f t="shared" si="5"/>
        <v>100</v>
      </c>
      <c r="K69" s="657">
        <v>50</v>
      </c>
      <c r="L69" s="721"/>
      <c r="M69" s="721">
        <v>0</v>
      </c>
      <c r="N69" s="660">
        <v>20</v>
      </c>
    </row>
    <row r="70" spans="1:14" ht="17.25" customHeight="1">
      <c r="A70" s="672" t="s">
        <v>220</v>
      </c>
      <c r="B70" s="673" t="s">
        <v>46</v>
      </c>
      <c r="C70" s="612" t="s">
        <v>526</v>
      </c>
      <c r="D70" s="612" t="s">
        <v>178</v>
      </c>
      <c r="E70" s="612"/>
      <c r="F70" s="612"/>
      <c r="G70" s="615"/>
      <c r="H70" s="616">
        <v>100</v>
      </c>
      <c r="I70" s="616"/>
      <c r="J70" s="616">
        <v>100</v>
      </c>
      <c r="K70" s="719" t="e">
        <f>#REF!+K71+K80+K28+K92+K89</f>
        <v>#REF!</v>
      </c>
      <c r="L70" s="719" t="e">
        <f>#REF!+L71+L80+L28+L92+L89</f>
        <v>#REF!</v>
      </c>
      <c r="M70" s="719" t="e">
        <f>#REF!+M71+M80+M28+M92+M89</f>
        <v>#REF!</v>
      </c>
      <c r="N70" s="656">
        <f>N74+N80+N83+N92+N89+N95+N71+N98+N86+N77</f>
        <v>2417.8</v>
      </c>
    </row>
    <row r="71" spans="1:14" ht="39" customHeight="1" hidden="1">
      <c r="A71" s="672" t="s">
        <v>545</v>
      </c>
      <c r="B71" s="673" t="s">
        <v>167</v>
      </c>
      <c r="C71" s="612" t="s">
        <v>526</v>
      </c>
      <c r="D71" s="612" t="s">
        <v>178</v>
      </c>
      <c r="E71" s="612" t="s">
        <v>370</v>
      </c>
      <c r="F71" s="612"/>
      <c r="G71" s="612"/>
      <c r="H71" s="721">
        <f>H73</f>
        <v>60</v>
      </c>
      <c r="I71" s="721">
        <f aca="true" t="shared" si="6" ref="I71:N71">I73</f>
        <v>15</v>
      </c>
      <c r="J71" s="721">
        <f t="shared" si="6"/>
        <v>60</v>
      </c>
      <c r="K71" s="655">
        <f t="shared" si="6"/>
        <v>100</v>
      </c>
      <c r="L71" s="655">
        <f t="shared" si="6"/>
        <v>45</v>
      </c>
      <c r="M71" s="655">
        <f t="shared" si="6"/>
        <v>100</v>
      </c>
      <c r="N71" s="656">
        <f t="shared" si="6"/>
        <v>0</v>
      </c>
    </row>
    <row r="72" spans="1:14" ht="35.25" customHeight="1" hidden="1">
      <c r="A72" s="674" t="s">
        <v>546</v>
      </c>
      <c r="B72" s="667" t="s">
        <v>309</v>
      </c>
      <c r="C72" s="615" t="s">
        <v>526</v>
      </c>
      <c r="D72" s="615" t="s">
        <v>178</v>
      </c>
      <c r="E72" s="615" t="s">
        <v>370</v>
      </c>
      <c r="F72" s="615" t="s">
        <v>308</v>
      </c>
      <c r="G72" s="615"/>
      <c r="H72" s="615" t="e">
        <f>'[2]роспись'!H47</f>
        <v>#REF!</v>
      </c>
      <c r="I72" s="616">
        <v>15</v>
      </c>
      <c r="J72" s="616">
        <v>60</v>
      </c>
      <c r="K72" s="657">
        <v>100</v>
      </c>
      <c r="L72" s="722">
        <v>45</v>
      </c>
      <c r="M72" s="723">
        <v>100</v>
      </c>
      <c r="N72" s="660">
        <f>N73</f>
        <v>0</v>
      </c>
    </row>
    <row r="73" spans="1:14" ht="30.75" customHeight="1" hidden="1">
      <c r="A73" s="674" t="s">
        <v>547</v>
      </c>
      <c r="B73" s="526" t="s">
        <v>287</v>
      </c>
      <c r="C73" s="615" t="s">
        <v>526</v>
      </c>
      <c r="D73" s="615" t="s">
        <v>178</v>
      </c>
      <c r="E73" s="615" t="s">
        <v>370</v>
      </c>
      <c r="F73" s="615" t="s">
        <v>242</v>
      </c>
      <c r="G73" s="615"/>
      <c r="H73" s="615">
        <f>'[2]роспись'!H48</f>
        <v>60</v>
      </c>
      <c r="I73" s="616">
        <v>15</v>
      </c>
      <c r="J73" s="616">
        <v>60</v>
      </c>
      <c r="K73" s="657">
        <v>100</v>
      </c>
      <c r="L73" s="722">
        <v>45</v>
      </c>
      <c r="M73" s="723">
        <v>100</v>
      </c>
      <c r="N73" s="660"/>
    </row>
    <row r="74" spans="1:14" ht="22.5" customHeight="1">
      <c r="A74" s="672" t="s">
        <v>548</v>
      </c>
      <c r="B74" s="673" t="s">
        <v>342</v>
      </c>
      <c r="C74" s="612" t="s">
        <v>526</v>
      </c>
      <c r="D74" s="612" t="s">
        <v>178</v>
      </c>
      <c r="E74" s="612" t="s">
        <v>371</v>
      </c>
      <c r="F74" s="612"/>
      <c r="G74" s="612"/>
      <c r="H74" s="613" t="e">
        <f>H76</f>
        <v>#REF!</v>
      </c>
      <c r="I74" s="613" t="e">
        <f aca="true" t="shared" si="7" ref="I74:N74">I76</f>
        <v>#REF!</v>
      </c>
      <c r="J74" s="613" t="e">
        <f t="shared" si="7"/>
        <v>#REF!</v>
      </c>
      <c r="K74" s="655">
        <f t="shared" si="7"/>
        <v>400</v>
      </c>
      <c r="L74" s="655">
        <f t="shared" si="7"/>
        <v>323.9</v>
      </c>
      <c r="M74" s="655">
        <f t="shared" si="7"/>
        <v>400</v>
      </c>
      <c r="N74" s="656">
        <f t="shared" si="7"/>
        <v>789.8</v>
      </c>
    </row>
    <row r="75" spans="1:14" ht="27" customHeight="1">
      <c r="A75" s="674" t="s">
        <v>546</v>
      </c>
      <c r="B75" s="667" t="s">
        <v>309</v>
      </c>
      <c r="C75" s="615" t="s">
        <v>526</v>
      </c>
      <c r="D75" s="615" t="s">
        <v>178</v>
      </c>
      <c r="E75" s="615" t="s">
        <v>371</v>
      </c>
      <c r="F75" s="615" t="s">
        <v>308</v>
      </c>
      <c r="G75" s="615"/>
      <c r="H75" s="616" t="e">
        <f>#REF!+H76</f>
        <v>#REF!</v>
      </c>
      <c r="I75" s="616" t="e">
        <f>#REF!+I76</f>
        <v>#REF!</v>
      </c>
      <c r="J75" s="616" t="e">
        <f>#REF!+J76</f>
        <v>#REF!</v>
      </c>
      <c r="K75" s="657">
        <v>400</v>
      </c>
      <c r="L75" s="616">
        <v>323.9</v>
      </c>
      <c r="M75" s="616">
        <v>400</v>
      </c>
      <c r="N75" s="660">
        <f>N76</f>
        <v>789.8</v>
      </c>
    </row>
    <row r="76" spans="1:20" ht="36">
      <c r="A76" s="674" t="s">
        <v>547</v>
      </c>
      <c r="B76" s="526" t="s">
        <v>287</v>
      </c>
      <c r="C76" s="615" t="s">
        <v>526</v>
      </c>
      <c r="D76" s="615" t="s">
        <v>178</v>
      </c>
      <c r="E76" s="615" t="s">
        <v>371</v>
      </c>
      <c r="F76" s="615" t="s">
        <v>242</v>
      </c>
      <c r="G76" s="615"/>
      <c r="H76" s="616" t="e">
        <f>#REF!+H92</f>
        <v>#REF!</v>
      </c>
      <c r="I76" s="616" t="e">
        <f>#REF!+I92</f>
        <v>#REF!</v>
      </c>
      <c r="J76" s="616" t="e">
        <f>#REF!+J92</f>
        <v>#REF!</v>
      </c>
      <c r="K76" s="657">
        <v>400</v>
      </c>
      <c r="L76" s="616">
        <v>323.9</v>
      </c>
      <c r="M76" s="616">
        <v>400</v>
      </c>
      <c r="N76" s="660">
        <v>789.8</v>
      </c>
      <c r="T76" s="267" t="e">
        <f>#REF!-'[4]Вед. 2020 (прил 4)'!N218</f>
        <v>#REF!</v>
      </c>
    </row>
    <row r="77" spans="1:20" ht="36">
      <c r="A77" s="706" t="s">
        <v>549</v>
      </c>
      <c r="B77" s="611" t="s">
        <v>167</v>
      </c>
      <c r="C77" s="612" t="s">
        <v>526</v>
      </c>
      <c r="D77" s="612" t="s">
        <v>178</v>
      </c>
      <c r="E77" s="612" t="s">
        <v>370</v>
      </c>
      <c r="F77" s="615"/>
      <c r="G77" s="615"/>
      <c r="H77" s="616"/>
      <c r="I77" s="616"/>
      <c r="J77" s="616"/>
      <c r="K77" s="657"/>
      <c r="L77" s="659"/>
      <c r="M77" s="659"/>
      <c r="N77" s="656">
        <f>N78</f>
        <v>50</v>
      </c>
      <c r="T77" s="267"/>
    </row>
    <row r="78" spans="1:20" ht="24">
      <c r="A78" s="674" t="s">
        <v>545</v>
      </c>
      <c r="B78" s="526" t="s">
        <v>550</v>
      </c>
      <c r="C78" s="615" t="s">
        <v>526</v>
      </c>
      <c r="D78" s="615" t="s">
        <v>178</v>
      </c>
      <c r="E78" s="615" t="s">
        <v>370</v>
      </c>
      <c r="F78" s="615" t="s">
        <v>308</v>
      </c>
      <c r="G78" s="615"/>
      <c r="H78" s="616"/>
      <c r="I78" s="616"/>
      <c r="J78" s="616"/>
      <c r="K78" s="657"/>
      <c r="L78" s="659"/>
      <c r="M78" s="659"/>
      <c r="N78" s="660">
        <f>N79</f>
        <v>50</v>
      </c>
      <c r="T78" s="267"/>
    </row>
    <row r="79" spans="1:20" ht="24">
      <c r="A79" s="674"/>
      <c r="B79" s="526" t="s">
        <v>551</v>
      </c>
      <c r="C79" s="615" t="s">
        <v>526</v>
      </c>
      <c r="D79" s="615" t="s">
        <v>178</v>
      </c>
      <c r="E79" s="615" t="s">
        <v>370</v>
      </c>
      <c r="F79" s="615" t="s">
        <v>242</v>
      </c>
      <c r="G79" s="615"/>
      <c r="H79" s="616"/>
      <c r="I79" s="616"/>
      <c r="J79" s="616"/>
      <c r="K79" s="657"/>
      <c r="L79" s="659"/>
      <c r="M79" s="659"/>
      <c r="N79" s="660">
        <v>50</v>
      </c>
      <c r="T79" s="267"/>
    </row>
    <row r="80" spans="1:14" ht="50.25" customHeight="1">
      <c r="A80" s="672" t="s">
        <v>552</v>
      </c>
      <c r="B80" s="673" t="s">
        <v>341</v>
      </c>
      <c r="C80" s="612" t="s">
        <v>526</v>
      </c>
      <c r="D80" s="612" t="s">
        <v>178</v>
      </c>
      <c r="E80" s="612" t="s">
        <v>377</v>
      </c>
      <c r="F80" s="612"/>
      <c r="G80" s="612"/>
      <c r="H80" s="613" t="e">
        <f>H82</f>
        <v>#REF!</v>
      </c>
      <c r="I80" s="613" t="e">
        <f aca="true" t="shared" si="8" ref="I80:N80">I82</f>
        <v>#REF!</v>
      </c>
      <c r="J80" s="613" t="e">
        <f t="shared" si="8"/>
        <v>#REF!</v>
      </c>
      <c r="K80" s="655">
        <f t="shared" si="8"/>
        <v>400</v>
      </c>
      <c r="L80" s="655">
        <f t="shared" si="8"/>
        <v>323.9</v>
      </c>
      <c r="M80" s="655">
        <f t="shared" si="8"/>
        <v>400</v>
      </c>
      <c r="N80" s="656">
        <f t="shared" si="8"/>
        <v>1200</v>
      </c>
    </row>
    <row r="81" spans="1:14" ht="27" customHeight="1">
      <c r="A81" s="674" t="s">
        <v>553</v>
      </c>
      <c r="B81" s="667" t="s">
        <v>309</v>
      </c>
      <c r="C81" s="615" t="s">
        <v>526</v>
      </c>
      <c r="D81" s="615" t="s">
        <v>178</v>
      </c>
      <c r="E81" s="615" t="s">
        <v>377</v>
      </c>
      <c r="F81" s="615" t="s">
        <v>308</v>
      </c>
      <c r="G81" s="615"/>
      <c r="H81" s="616" t="e">
        <f>#REF!+H82</f>
        <v>#REF!</v>
      </c>
      <c r="I81" s="616" t="e">
        <f>#REF!+I82</f>
        <v>#REF!</v>
      </c>
      <c r="J81" s="616" t="e">
        <f>#REF!+J82</f>
        <v>#REF!</v>
      </c>
      <c r="K81" s="657">
        <v>400</v>
      </c>
      <c r="L81" s="616">
        <v>323.9</v>
      </c>
      <c r="M81" s="616">
        <v>400</v>
      </c>
      <c r="N81" s="660">
        <f>N82</f>
        <v>1200</v>
      </c>
    </row>
    <row r="82" spans="1:14" ht="30.75" customHeight="1">
      <c r="A82" s="674" t="s">
        <v>554</v>
      </c>
      <c r="B82" s="526" t="s">
        <v>287</v>
      </c>
      <c r="C82" s="615" t="s">
        <v>526</v>
      </c>
      <c r="D82" s="615" t="s">
        <v>178</v>
      </c>
      <c r="E82" s="615" t="s">
        <v>377</v>
      </c>
      <c r="F82" s="615" t="s">
        <v>242</v>
      </c>
      <c r="G82" s="615"/>
      <c r="H82" s="616" t="e">
        <f>#REF!+H28</f>
        <v>#REF!</v>
      </c>
      <c r="I82" s="616" t="e">
        <f>#REF!+I28</f>
        <v>#REF!</v>
      </c>
      <c r="J82" s="616" t="e">
        <f>#REF!+J28</f>
        <v>#REF!</v>
      </c>
      <c r="K82" s="657">
        <v>400</v>
      </c>
      <c r="L82" s="616">
        <v>323.9</v>
      </c>
      <c r="M82" s="616">
        <v>400</v>
      </c>
      <c r="N82" s="660">
        <v>1200</v>
      </c>
    </row>
    <row r="83" spans="1:14" ht="48">
      <c r="A83" s="672" t="s">
        <v>555</v>
      </c>
      <c r="B83" s="673" t="s">
        <v>360</v>
      </c>
      <c r="C83" s="612" t="s">
        <v>526</v>
      </c>
      <c r="D83" s="612" t="s">
        <v>178</v>
      </c>
      <c r="E83" s="612" t="s">
        <v>372</v>
      </c>
      <c r="F83" s="612"/>
      <c r="G83" s="615"/>
      <c r="H83" s="616">
        <f>H85</f>
        <v>70</v>
      </c>
      <c r="I83" s="616">
        <f aca="true" t="shared" si="9" ref="I83:N83">I85</f>
        <v>0</v>
      </c>
      <c r="J83" s="616">
        <f t="shared" si="9"/>
        <v>20</v>
      </c>
      <c r="K83" s="655">
        <f t="shared" si="9"/>
        <v>60</v>
      </c>
      <c r="L83" s="655">
        <f t="shared" si="9"/>
        <v>30</v>
      </c>
      <c r="M83" s="655">
        <f t="shared" si="9"/>
        <v>60</v>
      </c>
      <c r="N83" s="656">
        <f t="shared" si="9"/>
        <v>20</v>
      </c>
    </row>
    <row r="84" spans="1:14" ht="30.75" customHeight="1">
      <c r="A84" s="674" t="s">
        <v>556</v>
      </c>
      <c r="B84" s="667" t="s">
        <v>309</v>
      </c>
      <c r="C84" s="615" t="s">
        <v>526</v>
      </c>
      <c r="D84" s="615" t="s">
        <v>178</v>
      </c>
      <c r="E84" s="615" t="s">
        <v>372</v>
      </c>
      <c r="F84" s="615" t="s">
        <v>308</v>
      </c>
      <c r="G84" s="615"/>
      <c r="H84" s="616">
        <v>70</v>
      </c>
      <c r="I84" s="616"/>
      <c r="J84" s="616">
        <v>20</v>
      </c>
      <c r="K84" s="657">
        <v>60</v>
      </c>
      <c r="L84" s="664">
        <v>30</v>
      </c>
      <c r="M84" s="665">
        <v>60</v>
      </c>
      <c r="N84" s="660">
        <f>N85</f>
        <v>20</v>
      </c>
    </row>
    <row r="85" spans="1:14" ht="30" customHeight="1">
      <c r="A85" s="674" t="s">
        <v>557</v>
      </c>
      <c r="B85" s="526" t="s">
        <v>287</v>
      </c>
      <c r="C85" s="615" t="s">
        <v>526</v>
      </c>
      <c r="D85" s="615" t="s">
        <v>178</v>
      </c>
      <c r="E85" s="615" t="s">
        <v>372</v>
      </c>
      <c r="F85" s="615" t="s">
        <v>242</v>
      </c>
      <c r="G85" s="615"/>
      <c r="H85" s="616">
        <v>70</v>
      </c>
      <c r="I85" s="616"/>
      <c r="J85" s="616">
        <v>20</v>
      </c>
      <c r="K85" s="657">
        <v>60</v>
      </c>
      <c r="L85" s="664">
        <v>30</v>
      </c>
      <c r="M85" s="665">
        <v>60</v>
      </c>
      <c r="N85" s="660">
        <v>20</v>
      </c>
    </row>
    <row r="86" spans="1:14" ht="30" customHeight="1" hidden="1">
      <c r="A86" s="672" t="s">
        <v>558</v>
      </c>
      <c r="B86" s="611" t="s">
        <v>421</v>
      </c>
      <c r="C86" s="612" t="s">
        <v>526</v>
      </c>
      <c r="D86" s="612" t="s">
        <v>178</v>
      </c>
      <c r="E86" s="612" t="s">
        <v>422</v>
      </c>
      <c r="F86" s="612"/>
      <c r="G86" s="612"/>
      <c r="H86" s="613"/>
      <c r="I86" s="613"/>
      <c r="J86" s="613"/>
      <c r="K86" s="655"/>
      <c r="L86" s="724"/>
      <c r="M86" s="725"/>
      <c r="N86" s="656">
        <f>N87</f>
        <v>0</v>
      </c>
    </row>
    <row r="87" spans="1:14" ht="30" customHeight="1" hidden="1">
      <c r="A87" s="681" t="s">
        <v>559</v>
      </c>
      <c r="B87" s="667" t="s">
        <v>309</v>
      </c>
      <c r="C87" s="615" t="s">
        <v>526</v>
      </c>
      <c r="D87" s="615" t="s">
        <v>178</v>
      </c>
      <c r="E87" s="615" t="s">
        <v>422</v>
      </c>
      <c r="F87" s="615" t="s">
        <v>308</v>
      </c>
      <c r="G87" s="615"/>
      <c r="H87" s="616"/>
      <c r="I87" s="616"/>
      <c r="J87" s="616"/>
      <c r="K87" s="657"/>
      <c r="L87" s="668"/>
      <c r="M87" s="665"/>
      <c r="N87" s="660">
        <f>N88</f>
        <v>0</v>
      </c>
    </row>
    <row r="88" spans="1:14" ht="30" customHeight="1" hidden="1">
      <c r="A88" s="681" t="s">
        <v>560</v>
      </c>
      <c r="B88" s="526" t="s">
        <v>287</v>
      </c>
      <c r="C88" s="615" t="s">
        <v>526</v>
      </c>
      <c r="D88" s="615" t="s">
        <v>178</v>
      </c>
      <c r="E88" s="615" t="s">
        <v>422</v>
      </c>
      <c r="F88" s="615" t="s">
        <v>242</v>
      </c>
      <c r="G88" s="615"/>
      <c r="H88" s="616"/>
      <c r="I88" s="616"/>
      <c r="J88" s="616"/>
      <c r="K88" s="657"/>
      <c r="L88" s="668"/>
      <c r="M88" s="665"/>
      <c r="N88" s="660"/>
    </row>
    <row r="89" spans="1:14" ht="31.5" customHeight="1">
      <c r="A89" s="672" t="s">
        <v>561</v>
      </c>
      <c r="B89" s="673" t="s">
        <v>417</v>
      </c>
      <c r="C89" s="612" t="s">
        <v>526</v>
      </c>
      <c r="D89" s="612" t="s">
        <v>178</v>
      </c>
      <c r="E89" s="612" t="s">
        <v>375</v>
      </c>
      <c r="F89" s="612"/>
      <c r="G89" s="615"/>
      <c r="H89" s="616"/>
      <c r="I89" s="616"/>
      <c r="J89" s="616"/>
      <c r="K89" s="726">
        <f>K91</f>
        <v>170</v>
      </c>
      <c r="L89" s="726">
        <f>L91</f>
        <v>150</v>
      </c>
      <c r="M89" s="726">
        <f>M91</f>
        <v>170</v>
      </c>
      <c r="N89" s="727">
        <f>N91</f>
        <v>12</v>
      </c>
    </row>
    <row r="90" spans="1:14" ht="30.75" customHeight="1">
      <c r="A90" s="674" t="s">
        <v>562</v>
      </c>
      <c r="B90" s="667" t="s">
        <v>309</v>
      </c>
      <c r="C90" s="728" t="s">
        <v>526</v>
      </c>
      <c r="D90" s="728" t="s">
        <v>178</v>
      </c>
      <c r="E90" s="615" t="s">
        <v>375</v>
      </c>
      <c r="F90" s="728" t="s">
        <v>308</v>
      </c>
      <c r="G90" s="615"/>
      <c r="H90" s="616"/>
      <c r="I90" s="616"/>
      <c r="J90" s="616"/>
      <c r="K90" s="663">
        <v>170</v>
      </c>
      <c r="L90" s="616">
        <v>150</v>
      </c>
      <c r="M90" s="616">
        <v>170</v>
      </c>
      <c r="N90" s="660">
        <f>N91</f>
        <v>12</v>
      </c>
    </row>
    <row r="91" spans="1:14" ht="31.5" customHeight="1">
      <c r="A91" s="674" t="s">
        <v>563</v>
      </c>
      <c r="B91" s="526" t="s">
        <v>287</v>
      </c>
      <c r="C91" s="728" t="s">
        <v>526</v>
      </c>
      <c r="D91" s="728" t="s">
        <v>178</v>
      </c>
      <c r="E91" s="615" t="s">
        <v>375</v>
      </c>
      <c r="F91" s="728" t="s">
        <v>242</v>
      </c>
      <c r="G91" s="615"/>
      <c r="H91" s="616"/>
      <c r="I91" s="616"/>
      <c r="J91" s="616"/>
      <c r="K91" s="663">
        <v>170</v>
      </c>
      <c r="L91" s="616">
        <v>150</v>
      </c>
      <c r="M91" s="616">
        <v>170</v>
      </c>
      <c r="N91" s="660">
        <v>12</v>
      </c>
    </row>
    <row r="92" spans="1:14" ht="51.75" customHeight="1">
      <c r="A92" s="672" t="s">
        <v>558</v>
      </c>
      <c r="B92" s="673" t="s">
        <v>364</v>
      </c>
      <c r="C92" s="612" t="s">
        <v>526</v>
      </c>
      <c r="D92" s="612" t="s">
        <v>178</v>
      </c>
      <c r="E92" s="612" t="s">
        <v>373</v>
      </c>
      <c r="F92" s="612"/>
      <c r="G92" s="612"/>
      <c r="H92" s="613" t="e">
        <f>H94+H102+#REF!+H103</f>
        <v>#REF!</v>
      </c>
      <c r="I92" s="613" t="e">
        <f>I94+I102+#REF!+I103</f>
        <v>#REF!</v>
      </c>
      <c r="J92" s="613" t="e">
        <f>J94+J102+#REF!+J103</f>
        <v>#REF!</v>
      </c>
      <c r="K92" s="655">
        <f>K94</f>
        <v>92</v>
      </c>
      <c r="L92" s="655">
        <f>L94</f>
        <v>48.2</v>
      </c>
      <c r="M92" s="655">
        <f>M94</f>
        <v>92</v>
      </c>
      <c r="N92" s="656">
        <f>N94</f>
        <v>128</v>
      </c>
    </row>
    <row r="93" spans="1:14" ht="35.25" customHeight="1">
      <c r="A93" s="674" t="s">
        <v>559</v>
      </c>
      <c r="B93" s="667" t="s">
        <v>309</v>
      </c>
      <c r="C93" s="615" t="s">
        <v>526</v>
      </c>
      <c r="D93" s="615" t="s">
        <v>178</v>
      </c>
      <c r="E93" s="615" t="s">
        <v>373</v>
      </c>
      <c r="F93" s="615" t="s">
        <v>308</v>
      </c>
      <c r="G93" s="615"/>
      <c r="H93" s="616"/>
      <c r="I93" s="616"/>
      <c r="J93" s="616"/>
      <c r="K93" s="657">
        <v>92</v>
      </c>
      <c r="L93" s="616">
        <v>48.2</v>
      </c>
      <c r="M93" s="616">
        <v>92</v>
      </c>
      <c r="N93" s="660">
        <f>N94</f>
        <v>128</v>
      </c>
    </row>
    <row r="94" spans="1:14" ht="27.75" customHeight="1">
      <c r="A94" s="674" t="s">
        <v>560</v>
      </c>
      <c r="B94" s="526" t="s">
        <v>287</v>
      </c>
      <c r="C94" s="615" t="s">
        <v>526</v>
      </c>
      <c r="D94" s="615" t="s">
        <v>178</v>
      </c>
      <c r="E94" s="615" t="s">
        <v>373</v>
      </c>
      <c r="F94" s="615" t="s">
        <v>242</v>
      </c>
      <c r="G94" s="615"/>
      <c r="H94" s="616"/>
      <c r="I94" s="616"/>
      <c r="J94" s="616"/>
      <c r="K94" s="657">
        <v>92</v>
      </c>
      <c r="L94" s="616">
        <v>48.2</v>
      </c>
      <c r="M94" s="616">
        <v>92</v>
      </c>
      <c r="N94" s="660">
        <v>128</v>
      </c>
    </row>
    <row r="95" spans="1:14" ht="69" customHeight="1">
      <c r="A95" s="729" t="s">
        <v>564</v>
      </c>
      <c r="B95" s="673" t="s">
        <v>343</v>
      </c>
      <c r="C95" s="612" t="s">
        <v>526</v>
      </c>
      <c r="D95" s="612" t="s">
        <v>178</v>
      </c>
      <c r="E95" s="612" t="s">
        <v>376</v>
      </c>
      <c r="F95" s="612"/>
      <c r="G95" s="612"/>
      <c r="H95" s="613" t="e">
        <f>H97+H106+#REF!+#REF!</f>
        <v>#REF!</v>
      </c>
      <c r="I95" s="613" t="e">
        <f>I97+I106+#REF!+#REF!</f>
        <v>#REF!</v>
      </c>
      <c r="J95" s="613" t="e">
        <f>J97+J106+#REF!+#REF!</f>
        <v>#REF!</v>
      </c>
      <c r="K95" s="655">
        <f>K97</f>
        <v>92</v>
      </c>
      <c r="L95" s="655">
        <f>L97</f>
        <v>48.2</v>
      </c>
      <c r="M95" s="655">
        <f>M97</f>
        <v>92</v>
      </c>
      <c r="N95" s="656">
        <f>N97</f>
        <v>6</v>
      </c>
    </row>
    <row r="96" spans="1:14" ht="26.25" customHeight="1">
      <c r="A96" s="730" t="s">
        <v>565</v>
      </c>
      <c r="B96" s="667" t="s">
        <v>309</v>
      </c>
      <c r="C96" s="615" t="s">
        <v>526</v>
      </c>
      <c r="D96" s="615" t="s">
        <v>178</v>
      </c>
      <c r="E96" s="615" t="s">
        <v>376</v>
      </c>
      <c r="F96" s="615" t="s">
        <v>308</v>
      </c>
      <c r="G96" s="615"/>
      <c r="H96" s="616"/>
      <c r="I96" s="616"/>
      <c r="J96" s="616"/>
      <c r="K96" s="657">
        <v>92</v>
      </c>
      <c r="L96" s="616">
        <v>48.2</v>
      </c>
      <c r="M96" s="616">
        <v>92</v>
      </c>
      <c r="N96" s="660">
        <f>N97</f>
        <v>6</v>
      </c>
    </row>
    <row r="97" spans="1:14" ht="27.75" customHeight="1">
      <c r="A97" s="730" t="s">
        <v>566</v>
      </c>
      <c r="B97" s="526" t="s">
        <v>287</v>
      </c>
      <c r="C97" s="615" t="s">
        <v>526</v>
      </c>
      <c r="D97" s="615" t="s">
        <v>178</v>
      </c>
      <c r="E97" s="615" t="s">
        <v>376</v>
      </c>
      <c r="F97" s="615" t="s">
        <v>242</v>
      </c>
      <c r="G97" s="615"/>
      <c r="H97" s="616"/>
      <c r="I97" s="616"/>
      <c r="J97" s="616"/>
      <c r="K97" s="657">
        <v>92</v>
      </c>
      <c r="L97" s="616">
        <v>48.2</v>
      </c>
      <c r="M97" s="616">
        <v>92</v>
      </c>
      <c r="N97" s="660">
        <v>6</v>
      </c>
    </row>
    <row r="98" spans="1:14" ht="48.75" customHeight="1">
      <c r="A98" s="729" t="s">
        <v>567</v>
      </c>
      <c r="B98" s="611" t="s">
        <v>416</v>
      </c>
      <c r="C98" s="612" t="s">
        <v>526</v>
      </c>
      <c r="D98" s="612" t="s">
        <v>178</v>
      </c>
      <c r="E98" s="612" t="s">
        <v>418</v>
      </c>
      <c r="F98" s="612" t="s">
        <v>242</v>
      </c>
      <c r="G98" s="612"/>
      <c r="H98" s="613"/>
      <c r="I98" s="613"/>
      <c r="J98" s="613"/>
      <c r="K98" s="613"/>
      <c r="L98" s="613"/>
      <c r="M98" s="613"/>
      <c r="N98" s="656">
        <f>N99</f>
        <v>212</v>
      </c>
    </row>
    <row r="99" spans="1:14" ht="27.75" customHeight="1">
      <c r="A99" s="730" t="s">
        <v>568</v>
      </c>
      <c r="B99" s="667" t="s">
        <v>309</v>
      </c>
      <c r="C99" s="615" t="s">
        <v>526</v>
      </c>
      <c r="D99" s="615" t="s">
        <v>178</v>
      </c>
      <c r="E99" s="615" t="s">
        <v>418</v>
      </c>
      <c r="F99" s="615" t="s">
        <v>308</v>
      </c>
      <c r="G99" s="615"/>
      <c r="H99" s="616"/>
      <c r="I99" s="616"/>
      <c r="J99" s="616"/>
      <c r="K99" s="616"/>
      <c r="L99" s="616"/>
      <c r="M99" s="616"/>
      <c r="N99" s="660">
        <f>N100</f>
        <v>212</v>
      </c>
    </row>
    <row r="100" spans="1:14" ht="27.75" customHeight="1" thickBot="1">
      <c r="A100" s="731" t="s">
        <v>569</v>
      </c>
      <c r="B100" s="732" t="s">
        <v>287</v>
      </c>
      <c r="C100" s="728" t="s">
        <v>526</v>
      </c>
      <c r="D100" s="728" t="s">
        <v>178</v>
      </c>
      <c r="E100" s="728" t="s">
        <v>418</v>
      </c>
      <c r="F100" s="728" t="s">
        <v>242</v>
      </c>
      <c r="G100" s="728"/>
      <c r="H100" s="733"/>
      <c r="I100" s="733"/>
      <c r="J100" s="733"/>
      <c r="K100" s="733"/>
      <c r="L100" s="733"/>
      <c r="M100" s="733"/>
      <c r="N100" s="666">
        <v>212</v>
      </c>
    </row>
    <row r="101" spans="1:14" ht="28.5" customHeight="1" thickBot="1">
      <c r="A101" s="734" t="s">
        <v>570</v>
      </c>
      <c r="B101" s="735" t="s">
        <v>53</v>
      </c>
      <c r="C101" s="736" t="s">
        <v>526</v>
      </c>
      <c r="D101" s="736" t="s">
        <v>47</v>
      </c>
      <c r="E101" s="736"/>
      <c r="F101" s="736"/>
      <c r="G101" s="736"/>
      <c r="H101" s="737" t="e">
        <f>H102+#REF!+H108+H120</f>
        <v>#REF!</v>
      </c>
      <c r="I101" s="737" t="e">
        <f>I102+#REF!+I108+I120</f>
        <v>#REF!</v>
      </c>
      <c r="J101" s="737" t="e">
        <f>J102+#REF!+J108+J120</f>
        <v>#REF!</v>
      </c>
      <c r="K101" s="738" t="e">
        <f>K102</f>
        <v>#REF!</v>
      </c>
      <c r="L101" s="738" t="e">
        <f>L102</f>
        <v>#REF!</v>
      </c>
      <c r="M101" s="738" t="e">
        <f>M102</f>
        <v>#REF!</v>
      </c>
      <c r="N101" s="693">
        <f>N102</f>
        <v>50</v>
      </c>
    </row>
    <row r="102" spans="1:14" ht="39.75" customHeight="1">
      <c r="A102" s="739" t="s">
        <v>76</v>
      </c>
      <c r="B102" s="740" t="s">
        <v>176</v>
      </c>
      <c r="C102" s="651" t="s">
        <v>526</v>
      </c>
      <c r="D102" s="651" t="s">
        <v>37</v>
      </c>
      <c r="E102" s="651"/>
      <c r="F102" s="651"/>
      <c r="G102" s="651"/>
      <c r="H102" s="705" t="e">
        <f>#REF!</f>
        <v>#REF!</v>
      </c>
      <c r="I102" s="705" t="e">
        <f>#REF!</f>
        <v>#REF!</v>
      </c>
      <c r="J102" s="705" t="e">
        <f>#REF!</f>
        <v>#REF!</v>
      </c>
      <c r="K102" s="652" t="e">
        <f>#REF!+K103</f>
        <v>#REF!</v>
      </c>
      <c r="L102" s="652" t="e">
        <f>#REF!+L103</f>
        <v>#REF!</v>
      </c>
      <c r="M102" s="652" t="e">
        <f>#REF!+M103</f>
        <v>#REF!</v>
      </c>
      <c r="N102" s="653">
        <f>N103+N106</f>
        <v>50</v>
      </c>
    </row>
    <row r="103" spans="1:14" ht="100.5" customHeight="1" hidden="1">
      <c r="A103" s="706" t="s">
        <v>77</v>
      </c>
      <c r="B103" s="673" t="s">
        <v>350</v>
      </c>
      <c r="C103" s="612" t="s">
        <v>526</v>
      </c>
      <c r="D103" s="612" t="s">
        <v>37</v>
      </c>
      <c r="E103" s="741" t="s">
        <v>378</v>
      </c>
      <c r="F103" s="612"/>
      <c r="G103" s="612"/>
      <c r="H103" s="613">
        <f>'[2]роспись'!H63</f>
        <v>5320</v>
      </c>
      <c r="I103" s="613">
        <v>3277.5</v>
      </c>
      <c r="J103" s="613">
        <v>5320</v>
      </c>
      <c r="K103" s="655">
        <f>K108</f>
        <v>18</v>
      </c>
      <c r="L103" s="655">
        <f>L108</f>
        <v>0</v>
      </c>
      <c r="M103" s="655">
        <f>M108</f>
        <v>18</v>
      </c>
      <c r="N103" s="656">
        <f>N104</f>
        <v>0</v>
      </c>
    </row>
    <row r="104" spans="1:14" ht="36" customHeight="1" hidden="1">
      <c r="A104" s="681" t="s">
        <v>168</v>
      </c>
      <c r="B104" s="667" t="s">
        <v>309</v>
      </c>
      <c r="C104" s="728" t="s">
        <v>526</v>
      </c>
      <c r="D104" s="728" t="s">
        <v>37</v>
      </c>
      <c r="E104" s="728" t="s">
        <v>378</v>
      </c>
      <c r="F104" s="728" t="s">
        <v>308</v>
      </c>
      <c r="G104" s="728"/>
      <c r="H104" s="733">
        <f>H108</f>
        <v>668</v>
      </c>
      <c r="I104" s="733">
        <f>I108</f>
        <v>480</v>
      </c>
      <c r="J104" s="733">
        <f>J108</f>
        <v>668</v>
      </c>
      <c r="K104" s="663">
        <v>18</v>
      </c>
      <c r="L104" s="733">
        <v>0</v>
      </c>
      <c r="M104" s="733">
        <v>18</v>
      </c>
      <c r="N104" s="666">
        <f>N105</f>
        <v>0</v>
      </c>
    </row>
    <row r="105" spans="1:14" ht="35.25" customHeight="1" hidden="1">
      <c r="A105" s="681" t="s">
        <v>571</v>
      </c>
      <c r="B105" s="526" t="s">
        <v>287</v>
      </c>
      <c r="C105" s="728" t="s">
        <v>526</v>
      </c>
      <c r="D105" s="728" t="s">
        <v>37</v>
      </c>
      <c r="E105" s="728" t="s">
        <v>378</v>
      </c>
      <c r="F105" s="728" t="s">
        <v>242</v>
      </c>
      <c r="G105" s="728"/>
      <c r="H105" s="733">
        <f>H108</f>
        <v>668</v>
      </c>
      <c r="I105" s="733">
        <f>I108</f>
        <v>480</v>
      </c>
      <c r="J105" s="733">
        <f>J108</f>
        <v>668</v>
      </c>
      <c r="K105" s="663">
        <v>18</v>
      </c>
      <c r="L105" s="733">
        <v>0</v>
      </c>
      <c r="M105" s="733">
        <v>18</v>
      </c>
      <c r="N105" s="666"/>
    </row>
    <row r="106" spans="1:14" ht="65.25" customHeight="1">
      <c r="A106" s="706" t="s">
        <v>572</v>
      </c>
      <c r="B106" s="673" t="s">
        <v>351</v>
      </c>
      <c r="C106" s="612" t="s">
        <v>526</v>
      </c>
      <c r="D106" s="612" t="s">
        <v>37</v>
      </c>
      <c r="E106" s="741" t="s">
        <v>379</v>
      </c>
      <c r="F106" s="612"/>
      <c r="G106" s="612"/>
      <c r="H106" s="613" t="e">
        <f>'[2]роспись'!H66</f>
        <v>#REF!</v>
      </c>
      <c r="I106" s="613">
        <v>3277.5</v>
      </c>
      <c r="J106" s="613">
        <v>5320</v>
      </c>
      <c r="K106" s="655" t="e">
        <f>K120</f>
        <v>#REF!</v>
      </c>
      <c r="L106" s="655" t="e">
        <f>L120</f>
        <v>#REF!</v>
      </c>
      <c r="M106" s="655" t="e">
        <f>M120</f>
        <v>#REF!</v>
      </c>
      <c r="N106" s="656">
        <f>N107</f>
        <v>50</v>
      </c>
    </row>
    <row r="107" spans="1:14" ht="33.75" customHeight="1">
      <c r="A107" s="681" t="s">
        <v>573</v>
      </c>
      <c r="B107" s="667" t="s">
        <v>309</v>
      </c>
      <c r="C107" s="728" t="s">
        <v>526</v>
      </c>
      <c r="D107" s="728" t="s">
        <v>37</v>
      </c>
      <c r="E107" s="728" t="s">
        <v>379</v>
      </c>
      <c r="F107" s="728" t="s">
        <v>308</v>
      </c>
      <c r="G107" s="728"/>
      <c r="H107" s="733" t="e">
        <f>#REF!</f>
        <v>#REF!</v>
      </c>
      <c r="I107" s="733" t="e">
        <f>#REF!</f>
        <v>#REF!</v>
      </c>
      <c r="J107" s="733" t="e">
        <f>#REF!</f>
        <v>#REF!</v>
      </c>
      <c r="K107" s="663">
        <v>18</v>
      </c>
      <c r="L107" s="733">
        <v>0</v>
      </c>
      <c r="M107" s="733">
        <v>18</v>
      </c>
      <c r="N107" s="666">
        <f>N108</f>
        <v>50</v>
      </c>
    </row>
    <row r="108" spans="1:14" ht="27.75" customHeight="1" thickBot="1">
      <c r="A108" s="681" t="s">
        <v>574</v>
      </c>
      <c r="B108" s="526" t="s">
        <v>287</v>
      </c>
      <c r="C108" s="728" t="s">
        <v>526</v>
      </c>
      <c r="D108" s="728" t="s">
        <v>37</v>
      </c>
      <c r="E108" s="728" t="s">
        <v>379</v>
      </c>
      <c r="F108" s="728" t="s">
        <v>242</v>
      </c>
      <c r="G108" s="728"/>
      <c r="H108" s="733">
        <f>H119</f>
        <v>668</v>
      </c>
      <c r="I108" s="733">
        <f>I119</f>
        <v>480</v>
      </c>
      <c r="J108" s="733">
        <f>J119</f>
        <v>668</v>
      </c>
      <c r="K108" s="663">
        <v>18</v>
      </c>
      <c r="L108" s="733">
        <v>0</v>
      </c>
      <c r="M108" s="733">
        <v>18</v>
      </c>
      <c r="N108" s="666">
        <v>50</v>
      </c>
    </row>
    <row r="109" spans="1:14" ht="21" customHeight="1" thickBot="1">
      <c r="A109" s="734" t="s">
        <v>575</v>
      </c>
      <c r="B109" s="742" t="s">
        <v>290</v>
      </c>
      <c r="C109" s="736" t="s">
        <v>526</v>
      </c>
      <c r="D109" s="743" t="s">
        <v>291</v>
      </c>
      <c r="E109" s="744"/>
      <c r="F109" s="745"/>
      <c r="G109" s="736"/>
      <c r="H109" s="737"/>
      <c r="I109" s="737"/>
      <c r="J109" s="737"/>
      <c r="K109" s="738"/>
      <c r="L109" s="746"/>
      <c r="M109" s="746"/>
      <c r="N109" s="693">
        <f>N110+N119+N123</f>
        <v>52410.1</v>
      </c>
    </row>
    <row r="110" spans="1:14" ht="15.75" customHeight="1" thickBot="1">
      <c r="A110" s="734" t="s">
        <v>78</v>
      </c>
      <c r="B110" s="735" t="s">
        <v>348</v>
      </c>
      <c r="C110" s="736" t="s">
        <v>526</v>
      </c>
      <c r="D110" s="736" t="s">
        <v>345</v>
      </c>
      <c r="E110" s="736"/>
      <c r="F110" s="736"/>
      <c r="G110" s="747"/>
      <c r="H110" s="748">
        <f>'[2]роспись'!H63</f>
        <v>5320</v>
      </c>
      <c r="I110" s="748">
        <v>480</v>
      </c>
      <c r="J110" s="748">
        <v>668</v>
      </c>
      <c r="K110" s="738" t="e">
        <f>K114</f>
        <v>#REF!</v>
      </c>
      <c r="L110" s="738" t="e">
        <f>L114</f>
        <v>#REF!</v>
      </c>
      <c r="M110" s="738" t="e">
        <f>M114</f>
        <v>#REF!</v>
      </c>
      <c r="N110" s="693">
        <f>N111+N117</f>
        <v>390</v>
      </c>
    </row>
    <row r="111" spans="1:14" ht="15.75" customHeight="1">
      <c r="A111" s="749" t="s">
        <v>79</v>
      </c>
      <c r="B111" s="650" t="s">
        <v>432</v>
      </c>
      <c r="C111" s="750">
        <v>993</v>
      </c>
      <c r="D111" s="651" t="s">
        <v>345</v>
      </c>
      <c r="E111" s="651" t="s">
        <v>447</v>
      </c>
      <c r="F111" s="651"/>
      <c r="G111" s="751"/>
      <c r="H111" s="752"/>
      <c r="I111" s="752"/>
      <c r="J111" s="752"/>
      <c r="K111" s="705"/>
      <c r="L111" s="705"/>
      <c r="M111" s="705"/>
      <c r="N111" s="653">
        <f>N112</f>
        <v>140</v>
      </c>
    </row>
    <row r="112" spans="1:14" ht="21" customHeight="1">
      <c r="A112" s="730" t="s">
        <v>143</v>
      </c>
      <c r="B112" s="667" t="s">
        <v>347</v>
      </c>
      <c r="C112" s="753">
        <v>993</v>
      </c>
      <c r="D112" s="615" t="s">
        <v>345</v>
      </c>
      <c r="E112" s="615" t="s">
        <v>447</v>
      </c>
      <c r="F112" s="615" t="s">
        <v>310</v>
      </c>
      <c r="G112" s="615"/>
      <c r="H112" s="616"/>
      <c r="I112" s="616"/>
      <c r="J112" s="616"/>
      <c r="K112" s="616"/>
      <c r="L112" s="616"/>
      <c r="M112" s="616"/>
      <c r="N112" s="660">
        <f>N113</f>
        <v>140</v>
      </c>
    </row>
    <row r="113" spans="1:14" ht="39" customHeight="1">
      <c r="A113" s="730" t="s">
        <v>576</v>
      </c>
      <c r="B113" s="526" t="s">
        <v>349</v>
      </c>
      <c r="C113" s="753">
        <v>993</v>
      </c>
      <c r="D113" s="615" t="s">
        <v>345</v>
      </c>
      <c r="E113" s="615" t="s">
        <v>447</v>
      </c>
      <c r="F113" s="615" t="s">
        <v>346</v>
      </c>
      <c r="G113" s="615"/>
      <c r="H113" s="616"/>
      <c r="I113" s="616"/>
      <c r="J113" s="616"/>
      <c r="K113" s="616"/>
      <c r="L113" s="616"/>
      <c r="M113" s="616"/>
      <c r="N113" s="660">
        <v>140</v>
      </c>
    </row>
    <row r="114" spans="1:14" ht="33.75" customHeight="1" hidden="1">
      <c r="A114" s="739" t="s">
        <v>577</v>
      </c>
      <c r="B114" s="754" t="s">
        <v>419</v>
      </c>
      <c r="C114" s="750">
        <v>993</v>
      </c>
      <c r="D114" s="651" t="s">
        <v>345</v>
      </c>
      <c r="E114" s="651" t="s">
        <v>433</v>
      </c>
      <c r="F114" s="651"/>
      <c r="G114" s="651"/>
      <c r="H114" s="705" t="e">
        <f>H116</f>
        <v>#REF!</v>
      </c>
      <c r="I114" s="705">
        <f>I116</f>
        <v>459.2</v>
      </c>
      <c r="J114" s="705">
        <f>J116</f>
        <v>796</v>
      </c>
      <c r="K114" s="652" t="e">
        <f>K116+#REF!</f>
        <v>#REF!</v>
      </c>
      <c r="L114" s="652" t="e">
        <f>L116+#REF!</f>
        <v>#REF!</v>
      </c>
      <c r="M114" s="652" t="e">
        <f>M116+#REF!</f>
        <v>#REF!</v>
      </c>
      <c r="N114" s="653">
        <f>N115</f>
        <v>0</v>
      </c>
    </row>
    <row r="115" spans="1:14" ht="23.25" customHeight="1" hidden="1">
      <c r="A115" s="674" t="s">
        <v>578</v>
      </c>
      <c r="B115" s="667" t="s">
        <v>347</v>
      </c>
      <c r="C115" s="753">
        <v>993</v>
      </c>
      <c r="D115" s="615" t="s">
        <v>345</v>
      </c>
      <c r="E115" s="615" t="s">
        <v>433</v>
      </c>
      <c r="F115" s="615" t="s">
        <v>310</v>
      </c>
      <c r="G115" s="615"/>
      <c r="H115" s="616" t="e">
        <f>'[2]роспись'!H64</f>
        <v>#REF!</v>
      </c>
      <c r="I115" s="616">
        <v>459.2</v>
      </c>
      <c r="J115" s="616">
        <v>796</v>
      </c>
      <c r="K115" s="657">
        <f>6469.6+600</f>
        <v>7069.6</v>
      </c>
      <c r="L115" s="664">
        <v>2772.6</v>
      </c>
      <c r="M115" s="665">
        <v>7069.6</v>
      </c>
      <c r="N115" s="660">
        <f>N116</f>
        <v>0</v>
      </c>
    </row>
    <row r="116" spans="1:14" ht="38.25" customHeight="1" hidden="1">
      <c r="A116" s="674" t="s">
        <v>579</v>
      </c>
      <c r="B116" s="526" t="s">
        <v>349</v>
      </c>
      <c r="C116" s="753">
        <v>993</v>
      </c>
      <c r="D116" s="615" t="s">
        <v>345</v>
      </c>
      <c r="E116" s="615" t="s">
        <v>433</v>
      </c>
      <c r="F116" s="615" t="s">
        <v>346</v>
      </c>
      <c r="G116" s="615"/>
      <c r="H116" s="616" t="e">
        <f>'[2]роспись'!H65</f>
        <v>#REF!</v>
      </c>
      <c r="I116" s="616">
        <v>459.2</v>
      </c>
      <c r="J116" s="616">
        <v>796</v>
      </c>
      <c r="K116" s="657">
        <f>6469.6+600</f>
        <v>7069.6</v>
      </c>
      <c r="L116" s="664">
        <v>2772.6</v>
      </c>
      <c r="M116" s="665">
        <v>7069.6</v>
      </c>
      <c r="N116" s="660"/>
    </row>
    <row r="117" spans="1:14" ht="57.75" customHeight="1">
      <c r="A117" s="730" t="s">
        <v>14</v>
      </c>
      <c r="B117" s="526" t="s">
        <v>15</v>
      </c>
      <c r="C117" s="753">
        <v>993</v>
      </c>
      <c r="D117" s="615" t="s">
        <v>345</v>
      </c>
      <c r="E117" s="615" t="s">
        <v>433</v>
      </c>
      <c r="F117" s="615" t="s">
        <v>310</v>
      </c>
      <c r="G117" s="755"/>
      <c r="H117" s="756"/>
      <c r="I117" s="756"/>
      <c r="J117" s="756"/>
      <c r="K117" s="757"/>
      <c r="L117" s="758"/>
      <c r="M117" s="759"/>
      <c r="N117" s="703">
        <f>N118</f>
        <v>250</v>
      </c>
    </row>
    <row r="118" spans="1:14" ht="38.25" customHeight="1" thickBot="1">
      <c r="A118" s="730" t="s">
        <v>14</v>
      </c>
      <c r="B118" s="526" t="s">
        <v>349</v>
      </c>
      <c r="C118" s="753">
        <v>993</v>
      </c>
      <c r="D118" s="615" t="s">
        <v>345</v>
      </c>
      <c r="E118" s="615" t="s">
        <v>433</v>
      </c>
      <c r="F118" s="615" t="s">
        <v>346</v>
      </c>
      <c r="G118" s="755"/>
      <c r="H118" s="756"/>
      <c r="I118" s="756"/>
      <c r="J118" s="756"/>
      <c r="K118" s="757"/>
      <c r="L118" s="758"/>
      <c r="M118" s="759"/>
      <c r="N118" s="703">
        <v>250</v>
      </c>
    </row>
    <row r="119" spans="1:14" ht="21" customHeight="1" thickBot="1">
      <c r="A119" s="734" t="s">
        <v>261</v>
      </c>
      <c r="B119" s="735" t="s">
        <v>217</v>
      </c>
      <c r="C119" s="736" t="s">
        <v>526</v>
      </c>
      <c r="D119" s="736" t="s">
        <v>216</v>
      </c>
      <c r="E119" s="736"/>
      <c r="F119" s="736"/>
      <c r="G119" s="747"/>
      <c r="H119" s="748">
        <f>'[2]роспись'!H68</f>
        <v>668</v>
      </c>
      <c r="I119" s="748">
        <v>480</v>
      </c>
      <c r="J119" s="748">
        <v>668</v>
      </c>
      <c r="K119" s="738" t="e">
        <f>K120</f>
        <v>#REF!</v>
      </c>
      <c r="L119" s="738" t="e">
        <f>L120</f>
        <v>#REF!</v>
      </c>
      <c r="M119" s="738" t="e">
        <f>M120</f>
        <v>#REF!</v>
      </c>
      <c r="N119" s="693">
        <f>N120</f>
        <v>51970.1</v>
      </c>
    </row>
    <row r="120" spans="1:14" ht="24">
      <c r="A120" s="739" t="s">
        <v>263</v>
      </c>
      <c r="B120" s="754" t="s">
        <v>246</v>
      </c>
      <c r="C120" s="750">
        <v>993</v>
      </c>
      <c r="D120" s="651" t="s">
        <v>216</v>
      </c>
      <c r="E120" s="612" t="s">
        <v>380</v>
      </c>
      <c r="F120" s="651"/>
      <c r="G120" s="651"/>
      <c r="H120" s="705">
        <f>H122</f>
        <v>796</v>
      </c>
      <c r="I120" s="705">
        <f>I122</f>
        <v>459.2</v>
      </c>
      <c r="J120" s="705">
        <f>J122</f>
        <v>796</v>
      </c>
      <c r="K120" s="652" t="e">
        <f>K122+#REF!</f>
        <v>#REF!</v>
      </c>
      <c r="L120" s="652" t="e">
        <f>L122+#REF!</f>
        <v>#REF!</v>
      </c>
      <c r="M120" s="652" t="e">
        <f>M122+#REF!</f>
        <v>#REF!</v>
      </c>
      <c r="N120" s="653">
        <f>N122</f>
        <v>51970.1</v>
      </c>
    </row>
    <row r="121" spans="1:14" ht="29.25" customHeight="1">
      <c r="A121" s="674" t="s">
        <v>580</v>
      </c>
      <c r="B121" s="667" t="s">
        <v>309</v>
      </c>
      <c r="C121" s="753">
        <v>993</v>
      </c>
      <c r="D121" s="615" t="s">
        <v>216</v>
      </c>
      <c r="E121" s="615" t="s">
        <v>380</v>
      </c>
      <c r="F121" s="615" t="s">
        <v>308</v>
      </c>
      <c r="G121" s="615"/>
      <c r="H121" s="616" t="e">
        <f>'[2]роспись'!H69</f>
        <v>#REF!</v>
      </c>
      <c r="I121" s="616">
        <v>459.2</v>
      </c>
      <c r="J121" s="616">
        <v>796</v>
      </c>
      <c r="K121" s="657">
        <f>6469.6+600</f>
        <v>7069.6</v>
      </c>
      <c r="L121" s="664">
        <v>2772.6</v>
      </c>
      <c r="M121" s="665">
        <v>7069.6</v>
      </c>
      <c r="N121" s="660">
        <f>N122</f>
        <v>51970.1</v>
      </c>
    </row>
    <row r="122" spans="1:14" ht="27.75" customHeight="1" thickBot="1">
      <c r="A122" s="674" t="s">
        <v>581</v>
      </c>
      <c r="B122" s="526" t="s">
        <v>287</v>
      </c>
      <c r="C122" s="753">
        <v>993</v>
      </c>
      <c r="D122" s="615" t="s">
        <v>216</v>
      </c>
      <c r="E122" s="615" t="s">
        <v>380</v>
      </c>
      <c r="F122" s="615" t="s">
        <v>242</v>
      </c>
      <c r="G122" s="615"/>
      <c r="H122" s="616">
        <f>'[2]роспись'!H70</f>
        <v>796</v>
      </c>
      <c r="I122" s="616">
        <v>459.2</v>
      </c>
      <c r="J122" s="616">
        <v>796</v>
      </c>
      <c r="K122" s="657">
        <f>6469.6+600</f>
        <v>7069.6</v>
      </c>
      <c r="L122" s="664">
        <v>2772.6</v>
      </c>
      <c r="M122" s="665">
        <v>7069.6</v>
      </c>
      <c r="N122" s="660">
        <v>51970.1</v>
      </c>
    </row>
    <row r="123" spans="1:14" ht="21" customHeight="1" thickBot="1">
      <c r="A123" s="734" t="s">
        <v>582</v>
      </c>
      <c r="B123" s="735" t="s">
        <v>362</v>
      </c>
      <c r="C123" s="736" t="s">
        <v>526</v>
      </c>
      <c r="D123" s="736" t="s">
        <v>361</v>
      </c>
      <c r="E123" s="736"/>
      <c r="F123" s="736"/>
      <c r="G123" s="747"/>
      <c r="H123" s="748" t="e">
        <f>'[2]роспись'!H73</f>
        <v>#REF!</v>
      </c>
      <c r="I123" s="748">
        <v>480</v>
      </c>
      <c r="J123" s="748">
        <v>668</v>
      </c>
      <c r="K123" s="738" t="e">
        <f>K124</f>
        <v>#REF!</v>
      </c>
      <c r="L123" s="738" t="e">
        <f>L124</f>
        <v>#REF!</v>
      </c>
      <c r="M123" s="738" t="e">
        <f>M124</f>
        <v>#REF!</v>
      </c>
      <c r="N123" s="693">
        <f>N124</f>
        <v>50</v>
      </c>
    </row>
    <row r="124" spans="1:14" ht="24">
      <c r="A124" s="739" t="s">
        <v>583</v>
      </c>
      <c r="B124" s="754" t="s">
        <v>363</v>
      </c>
      <c r="C124" s="750">
        <v>993</v>
      </c>
      <c r="D124" s="651" t="s">
        <v>361</v>
      </c>
      <c r="E124" s="612" t="s">
        <v>381</v>
      </c>
      <c r="F124" s="651"/>
      <c r="G124" s="651"/>
      <c r="H124" s="705">
        <f>H126</f>
        <v>204</v>
      </c>
      <c r="I124" s="705">
        <f>I126</f>
        <v>459.2</v>
      </c>
      <c r="J124" s="705">
        <f>J126</f>
        <v>796</v>
      </c>
      <c r="K124" s="652" t="e">
        <f>K126+K127</f>
        <v>#REF!</v>
      </c>
      <c r="L124" s="652" t="e">
        <f>L126+L127</f>
        <v>#REF!</v>
      </c>
      <c r="M124" s="652" t="e">
        <f>M126+M127</f>
        <v>#REF!</v>
      </c>
      <c r="N124" s="653">
        <f>N125</f>
        <v>50</v>
      </c>
    </row>
    <row r="125" spans="1:14" ht="29.25" customHeight="1">
      <c r="A125" s="674" t="s">
        <v>584</v>
      </c>
      <c r="B125" s="667" t="s">
        <v>309</v>
      </c>
      <c r="C125" s="753">
        <v>993</v>
      </c>
      <c r="D125" s="615" t="s">
        <v>361</v>
      </c>
      <c r="E125" s="615" t="s">
        <v>381</v>
      </c>
      <c r="F125" s="615" t="s">
        <v>308</v>
      </c>
      <c r="G125" s="615"/>
      <c r="H125" s="616" t="e">
        <f>'[2]роспись'!H74</f>
        <v>#REF!</v>
      </c>
      <c r="I125" s="616">
        <v>459.2</v>
      </c>
      <c r="J125" s="616">
        <v>796</v>
      </c>
      <c r="K125" s="657">
        <f>6469.6+600</f>
        <v>7069.6</v>
      </c>
      <c r="L125" s="664">
        <v>2772.6</v>
      </c>
      <c r="M125" s="665">
        <v>7069.6</v>
      </c>
      <c r="N125" s="660">
        <f>N126</f>
        <v>50</v>
      </c>
    </row>
    <row r="126" spans="1:14" ht="27.75" customHeight="1" thickBot="1">
      <c r="A126" s="674" t="s">
        <v>585</v>
      </c>
      <c r="B126" s="526" t="s">
        <v>287</v>
      </c>
      <c r="C126" s="753">
        <v>993</v>
      </c>
      <c r="D126" s="615" t="s">
        <v>361</v>
      </c>
      <c r="E126" s="615" t="s">
        <v>381</v>
      </c>
      <c r="F126" s="615" t="s">
        <v>242</v>
      </c>
      <c r="G126" s="615"/>
      <c r="H126" s="616">
        <f>'[2]роспись'!H75</f>
        <v>204</v>
      </c>
      <c r="I126" s="616">
        <v>459.2</v>
      </c>
      <c r="J126" s="616">
        <v>796</v>
      </c>
      <c r="K126" s="657">
        <f>6469.6+600</f>
        <v>7069.6</v>
      </c>
      <c r="L126" s="664">
        <v>2772.6</v>
      </c>
      <c r="M126" s="665">
        <v>7069.6</v>
      </c>
      <c r="N126" s="660">
        <v>50</v>
      </c>
    </row>
    <row r="127" spans="1:14" ht="13.5" thickBot="1">
      <c r="A127" s="734" t="s">
        <v>586</v>
      </c>
      <c r="B127" s="735" t="s">
        <v>48</v>
      </c>
      <c r="C127" s="736" t="s">
        <v>526</v>
      </c>
      <c r="D127" s="736" t="s">
        <v>49</v>
      </c>
      <c r="E127" s="736"/>
      <c r="F127" s="736"/>
      <c r="G127" s="615"/>
      <c r="H127" s="616" t="e">
        <f>#REF!+#REF!+#REF!</f>
        <v>#REF!</v>
      </c>
      <c r="I127" s="616" t="e">
        <f>#REF!+#REF!+#REF!</f>
        <v>#REF!</v>
      </c>
      <c r="J127" s="616" t="e">
        <f>#REF!+#REF!+#REF!</f>
        <v>#REF!</v>
      </c>
      <c r="K127" s="738" t="e">
        <f>#REF!+K139+K149+K159</f>
        <v>#REF!</v>
      </c>
      <c r="L127" s="738" t="e">
        <f>#REF!+L139+L149+L159</f>
        <v>#REF!</v>
      </c>
      <c r="M127" s="738" t="e">
        <f>#REF!+M139+M149+M159</f>
        <v>#REF!</v>
      </c>
      <c r="N127" s="693">
        <f>N128</f>
        <v>57086.5</v>
      </c>
    </row>
    <row r="128" spans="1:14" ht="13.5" thickBot="1">
      <c r="A128" s="734" t="s">
        <v>80</v>
      </c>
      <c r="B128" s="760" t="s">
        <v>299</v>
      </c>
      <c r="C128" s="736" t="s">
        <v>526</v>
      </c>
      <c r="D128" s="736" t="s">
        <v>88</v>
      </c>
      <c r="E128" s="736"/>
      <c r="F128" s="736"/>
      <c r="G128" s="736"/>
      <c r="H128" s="737"/>
      <c r="I128" s="737"/>
      <c r="J128" s="737"/>
      <c r="K128" s="738"/>
      <c r="L128" s="738"/>
      <c r="M128" s="738"/>
      <c r="N128" s="693">
        <f>N129+N139+N149+N159</f>
        <v>57086.5</v>
      </c>
    </row>
    <row r="129" spans="1:14" ht="27.75" customHeight="1" thickBot="1">
      <c r="A129" s="761" t="s">
        <v>81</v>
      </c>
      <c r="B129" s="762" t="s">
        <v>353</v>
      </c>
      <c r="C129" s="763">
        <v>993</v>
      </c>
      <c r="D129" s="763" t="s">
        <v>88</v>
      </c>
      <c r="E129" s="763" t="s">
        <v>382</v>
      </c>
      <c r="F129" s="763"/>
      <c r="G129" s="728"/>
      <c r="H129" s="733">
        <f>H130</f>
        <v>552.7</v>
      </c>
      <c r="I129" s="733">
        <f>I130</f>
        <v>79.8</v>
      </c>
      <c r="J129" s="733">
        <f>J130</f>
        <v>204</v>
      </c>
      <c r="K129" s="764" t="e">
        <f>K130+#REF!+#REF!</f>
        <v>#REF!</v>
      </c>
      <c r="L129" s="764" t="e">
        <f>L130+#REF!+#REF!</f>
        <v>#REF!</v>
      </c>
      <c r="M129" s="764" t="e">
        <f>M130+#REF!+#REF!</f>
        <v>#REF!</v>
      </c>
      <c r="N129" s="765">
        <f>N130+N133+N136</f>
        <v>11326</v>
      </c>
    </row>
    <row r="130" spans="1:14" ht="43.5" customHeight="1">
      <c r="A130" s="766" t="s">
        <v>81</v>
      </c>
      <c r="B130" s="767" t="s">
        <v>247</v>
      </c>
      <c r="C130" s="768">
        <v>993</v>
      </c>
      <c r="D130" s="768" t="s">
        <v>88</v>
      </c>
      <c r="E130" s="768" t="s">
        <v>383</v>
      </c>
      <c r="F130" s="768"/>
      <c r="G130" s="768"/>
      <c r="H130" s="769">
        <f>'[2]роспись'!H84</f>
        <v>552.7</v>
      </c>
      <c r="I130" s="769">
        <v>79.8</v>
      </c>
      <c r="J130" s="769">
        <v>204</v>
      </c>
      <c r="K130" s="770">
        <f>K132</f>
        <v>411.1</v>
      </c>
      <c r="L130" s="770">
        <f>L132</f>
        <v>0</v>
      </c>
      <c r="M130" s="770">
        <f>M132</f>
        <v>411.1</v>
      </c>
      <c r="N130" s="771">
        <f>N131</f>
        <v>6619.1</v>
      </c>
    </row>
    <row r="131" spans="1:14" ht="33" customHeight="1">
      <c r="A131" s="674" t="s">
        <v>82</v>
      </c>
      <c r="B131" s="667" t="s">
        <v>309</v>
      </c>
      <c r="C131" s="615">
        <v>993</v>
      </c>
      <c r="D131" s="615" t="s">
        <v>88</v>
      </c>
      <c r="E131" s="615" t="s">
        <v>383</v>
      </c>
      <c r="F131" s="615" t="s">
        <v>308</v>
      </c>
      <c r="G131" s="615"/>
      <c r="H131" s="616" t="e">
        <f>H132</f>
        <v>#REF!</v>
      </c>
      <c r="I131" s="616" t="e">
        <f>I132</f>
        <v>#REF!</v>
      </c>
      <c r="J131" s="616" t="e">
        <f>J132</f>
        <v>#REF!</v>
      </c>
      <c r="K131" s="657">
        <v>411.1</v>
      </c>
      <c r="L131" s="658"/>
      <c r="M131" s="659">
        <v>411.1</v>
      </c>
      <c r="N131" s="660">
        <f>N132</f>
        <v>6619.1</v>
      </c>
    </row>
    <row r="132" spans="1:14" ht="27" customHeight="1" thickBot="1">
      <c r="A132" s="681" t="s">
        <v>426</v>
      </c>
      <c r="B132" s="732" t="s">
        <v>287</v>
      </c>
      <c r="C132" s="728">
        <v>993</v>
      </c>
      <c r="D132" s="728" t="s">
        <v>88</v>
      </c>
      <c r="E132" s="728" t="s">
        <v>383</v>
      </c>
      <c r="F132" s="728" t="s">
        <v>242</v>
      </c>
      <c r="G132" s="728"/>
      <c r="H132" s="733" t="e">
        <f>#REF!</f>
        <v>#REF!</v>
      </c>
      <c r="I132" s="733" t="e">
        <f>#REF!</f>
        <v>#REF!</v>
      </c>
      <c r="J132" s="733" t="e">
        <f>#REF!</f>
        <v>#REF!</v>
      </c>
      <c r="K132" s="663">
        <v>411.1</v>
      </c>
      <c r="L132" s="664"/>
      <c r="M132" s="665">
        <v>411.1</v>
      </c>
      <c r="N132" s="666">
        <v>6619.1</v>
      </c>
    </row>
    <row r="133" spans="1:14" ht="27" customHeight="1" thickBot="1">
      <c r="A133" s="734" t="s">
        <v>587</v>
      </c>
      <c r="B133" s="772" t="s">
        <v>420</v>
      </c>
      <c r="C133" s="773" t="s">
        <v>526</v>
      </c>
      <c r="D133" s="774" t="s">
        <v>88</v>
      </c>
      <c r="E133" s="736" t="s">
        <v>427</v>
      </c>
      <c r="F133" s="774"/>
      <c r="G133" s="736"/>
      <c r="H133" s="737">
        <v>400</v>
      </c>
      <c r="I133" s="737">
        <v>220</v>
      </c>
      <c r="J133" s="737">
        <v>400</v>
      </c>
      <c r="K133" s="738">
        <f>K135</f>
        <v>500</v>
      </c>
      <c r="L133" s="738">
        <f>L135</f>
        <v>14.9</v>
      </c>
      <c r="M133" s="738">
        <f>M135</f>
        <v>500</v>
      </c>
      <c r="N133" s="693">
        <f>N135</f>
        <v>4406.9</v>
      </c>
    </row>
    <row r="134" spans="1:14" ht="27" customHeight="1">
      <c r="A134" s="775" t="s">
        <v>588</v>
      </c>
      <c r="B134" s="776" t="s">
        <v>309</v>
      </c>
      <c r="C134" s="777" t="s">
        <v>526</v>
      </c>
      <c r="D134" s="778" t="s">
        <v>88</v>
      </c>
      <c r="E134" s="751" t="s">
        <v>427</v>
      </c>
      <c r="F134" s="779" t="s">
        <v>308</v>
      </c>
      <c r="G134" s="751"/>
      <c r="H134" s="752">
        <f aca="true" t="shared" si="10" ref="H134:J135">H146</f>
        <v>0</v>
      </c>
      <c r="I134" s="752">
        <f t="shared" si="10"/>
        <v>0</v>
      </c>
      <c r="J134" s="752">
        <f t="shared" si="10"/>
        <v>0</v>
      </c>
      <c r="K134" s="757">
        <v>500</v>
      </c>
      <c r="L134" s="757">
        <v>14.9</v>
      </c>
      <c r="M134" s="757">
        <v>500</v>
      </c>
      <c r="N134" s="703">
        <f>N135</f>
        <v>4406.9</v>
      </c>
    </row>
    <row r="135" spans="1:14" ht="27" customHeight="1" thickBot="1">
      <c r="A135" s="681" t="s">
        <v>589</v>
      </c>
      <c r="B135" s="732" t="s">
        <v>287</v>
      </c>
      <c r="C135" s="780" t="s">
        <v>526</v>
      </c>
      <c r="D135" s="781" t="s">
        <v>88</v>
      </c>
      <c r="E135" s="755" t="s">
        <v>427</v>
      </c>
      <c r="F135" s="781" t="s">
        <v>242</v>
      </c>
      <c r="G135" s="728"/>
      <c r="H135" s="733">
        <f t="shared" si="10"/>
        <v>0</v>
      </c>
      <c r="I135" s="733">
        <f t="shared" si="10"/>
        <v>0</v>
      </c>
      <c r="J135" s="733">
        <f t="shared" si="10"/>
        <v>0</v>
      </c>
      <c r="K135" s="663">
        <v>500</v>
      </c>
      <c r="L135" s="663">
        <v>14.9</v>
      </c>
      <c r="M135" s="663">
        <v>500</v>
      </c>
      <c r="N135" s="666">
        <v>4406.9</v>
      </c>
    </row>
    <row r="136" spans="1:14" ht="49.5" customHeight="1" thickBot="1">
      <c r="A136" s="734" t="s">
        <v>590</v>
      </c>
      <c r="B136" s="735" t="s">
        <v>434</v>
      </c>
      <c r="C136" s="773" t="s">
        <v>526</v>
      </c>
      <c r="D136" s="774" t="s">
        <v>88</v>
      </c>
      <c r="E136" s="736" t="s">
        <v>435</v>
      </c>
      <c r="F136" s="782"/>
      <c r="G136" s="747"/>
      <c r="H136" s="748"/>
      <c r="I136" s="748"/>
      <c r="J136" s="748"/>
      <c r="K136" s="748"/>
      <c r="L136" s="748"/>
      <c r="M136" s="748"/>
      <c r="N136" s="693">
        <f>N137</f>
        <v>300</v>
      </c>
    </row>
    <row r="137" spans="1:14" ht="27" customHeight="1">
      <c r="A137" s="775" t="s">
        <v>591</v>
      </c>
      <c r="B137" s="776" t="s">
        <v>309</v>
      </c>
      <c r="C137" s="783" t="s">
        <v>526</v>
      </c>
      <c r="D137" s="779" t="s">
        <v>88</v>
      </c>
      <c r="E137" s="751" t="s">
        <v>435</v>
      </c>
      <c r="F137" s="779" t="s">
        <v>308</v>
      </c>
      <c r="G137" s="751"/>
      <c r="H137" s="752"/>
      <c r="I137" s="752"/>
      <c r="J137" s="752"/>
      <c r="K137" s="752"/>
      <c r="L137" s="752"/>
      <c r="M137" s="752"/>
      <c r="N137" s="784">
        <f>N138</f>
        <v>300</v>
      </c>
    </row>
    <row r="138" spans="1:14" ht="27" customHeight="1" thickBot="1">
      <c r="A138" s="681" t="s">
        <v>592</v>
      </c>
      <c r="B138" s="732" t="s">
        <v>287</v>
      </c>
      <c r="C138" s="780" t="s">
        <v>526</v>
      </c>
      <c r="D138" s="781" t="s">
        <v>88</v>
      </c>
      <c r="E138" s="728" t="s">
        <v>435</v>
      </c>
      <c r="F138" s="781" t="s">
        <v>242</v>
      </c>
      <c r="G138" s="728"/>
      <c r="H138" s="733"/>
      <c r="I138" s="733"/>
      <c r="J138" s="733"/>
      <c r="K138" s="733"/>
      <c r="L138" s="733"/>
      <c r="M138" s="733"/>
      <c r="N138" s="666">
        <v>300</v>
      </c>
    </row>
    <row r="139" spans="1:14" ht="49.5" customHeight="1" thickBot="1">
      <c r="A139" s="785" t="s">
        <v>593</v>
      </c>
      <c r="B139" s="786" t="s">
        <v>248</v>
      </c>
      <c r="C139" s="736">
        <v>993</v>
      </c>
      <c r="D139" s="736" t="s">
        <v>88</v>
      </c>
      <c r="E139" s="736" t="s">
        <v>384</v>
      </c>
      <c r="F139" s="736"/>
      <c r="G139" s="747"/>
      <c r="H139" s="748">
        <f>H140</f>
        <v>1077.7</v>
      </c>
      <c r="I139" s="748">
        <f>I140</f>
        <v>566.3</v>
      </c>
      <c r="J139" s="748">
        <f>J140</f>
        <v>1077.7</v>
      </c>
      <c r="K139" s="738">
        <f>K140++K143+K146</f>
        <v>6501.6</v>
      </c>
      <c r="L139" s="738">
        <f>L140++L143+L146</f>
        <v>4178.700000000001</v>
      </c>
      <c r="M139" s="738">
        <f>M140++M143+M146</f>
        <v>6501.6</v>
      </c>
      <c r="N139" s="693">
        <f>N140++N143+N146</f>
        <v>11780</v>
      </c>
    </row>
    <row r="140" spans="1:14" ht="17.25" customHeight="1">
      <c r="A140" s="787" t="s">
        <v>594</v>
      </c>
      <c r="B140" s="788" t="s">
        <v>249</v>
      </c>
      <c r="C140" s="779" t="s">
        <v>526</v>
      </c>
      <c r="D140" s="779" t="s">
        <v>88</v>
      </c>
      <c r="E140" s="615" t="s">
        <v>385</v>
      </c>
      <c r="F140" s="779"/>
      <c r="G140" s="751"/>
      <c r="H140" s="751">
        <f aca="true" t="shared" si="11" ref="H140:M140">H142</f>
        <v>1077.7</v>
      </c>
      <c r="I140" s="752">
        <f t="shared" si="11"/>
        <v>566.3</v>
      </c>
      <c r="J140" s="752">
        <f t="shared" si="11"/>
        <v>1077.7</v>
      </c>
      <c r="K140" s="789">
        <f t="shared" si="11"/>
        <v>1800</v>
      </c>
      <c r="L140" s="789">
        <f t="shared" si="11"/>
        <v>1632.4</v>
      </c>
      <c r="M140" s="789">
        <f t="shared" si="11"/>
        <v>1800</v>
      </c>
      <c r="N140" s="790">
        <f>N141</f>
        <v>350</v>
      </c>
    </row>
    <row r="141" spans="1:14" ht="29.25" customHeight="1">
      <c r="A141" s="791" t="s">
        <v>595</v>
      </c>
      <c r="B141" s="667" t="s">
        <v>309</v>
      </c>
      <c r="C141" s="792" t="s">
        <v>526</v>
      </c>
      <c r="D141" s="792" t="s">
        <v>88</v>
      </c>
      <c r="E141" s="615" t="s">
        <v>385</v>
      </c>
      <c r="F141" s="792" t="s">
        <v>308</v>
      </c>
      <c r="G141" s="615"/>
      <c r="H141" s="615" t="e">
        <f>'[2]роспись'!H78</f>
        <v>#REF!</v>
      </c>
      <c r="I141" s="616">
        <v>566.3</v>
      </c>
      <c r="J141" s="616">
        <v>1077.7</v>
      </c>
      <c r="K141" s="793">
        <v>1800</v>
      </c>
      <c r="L141" s="658">
        <v>1632.4</v>
      </c>
      <c r="M141" s="659">
        <v>1800</v>
      </c>
      <c r="N141" s="660">
        <f>N142</f>
        <v>350</v>
      </c>
    </row>
    <row r="142" spans="1:14" ht="28.5" customHeight="1">
      <c r="A142" s="791" t="s">
        <v>596</v>
      </c>
      <c r="B142" s="526" t="s">
        <v>287</v>
      </c>
      <c r="C142" s="792" t="s">
        <v>526</v>
      </c>
      <c r="D142" s="792" t="s">
        <v>88</v>
      </c>
      <c r="E142" s="751" t="s">
        <v>385</v>
      </c>
      <c r="F142" s="792" t="s">
        <v>242</v>
      </c>
      <c r="G142" s="615"/>
      <c r="H142" s="615">
        <f>'[2]роспись'!H79</f>
        <v>1077.7</v>
      </c>
      <c r="I142" s="616">
        <v>566.3</v>
      </c>
      <c r="J142" s="616">
        <v>1077.7</v>
      </c>
      <c r="K142" s="793">
        <v>1800</v>
      </c>
      <c r="L142" s="658">
        <v>1632.4</v>
      </c>
      <c r="M142" s="659">
        <v>1800</v>
      </c>
      <c r="N142" s="660">
        <v>350</v>
      </c>
    </row>
    <row r="143" spans="1:14" ht="24" customHeight="1" hidden="1">
      <c r="A143" s="791" t="s">
        <v>597</v>
      </c>
      <c r="B143" s="525" t="s">
        <v>89</v>
      </c>
      <c r="C143" s="794" t="s">
        <v>526</v>
      </c>
      <c r="D143" s="792" t="s">
        <v>88</v>
      </c>
      <c r="E143" s="751" t="s">
        <v>386</v>
      </c>
      <c r="F143" s="792"/>
      <c r="G143" s="615"/>
      <c r="H143" s="616">
        <f>H149</f>
        <v>780.8000000000001</v>
      </c>
      <c r="I143" s="616">
        <f>I149</f>
        <v>457.5</v>
      </c>
      <c r="J143" s="616">
        <f>J149</f>
        <v>704.8000000000001</v>
      </c>
      <c r="K143" s="793">
        <f>K145</f>
        <v>1122</v>
      </c>
      <c r="L143" s="793">
        <f>L145</f>
        <v>475</v>
      </c>
      <c r="M143" s="793">
        <f>M145</f>
        <v>1122</v>
      </c>
      <c r="N143" s="795">
        <f>N144</f>
        <v>0</v>
      </c>
    </row>
    <row r="144" spans="1:14" ht="29.25" customHeight="1" hidden="1">
      <c r="A144" s="791" t="s">
        <v>598</v>
      </c>
      <c r="B144" s="667" t="s">
        <v>309</v>
      </c>
      <c r="C144" s="794" t="s">
        <v>526</v>
      </c>
      <c r="D144" s="792" t="s">
        <v>88</v>
      </c>
      <c r="E144" s="751" t="s">
        <v>386</v>
      </c>
      <c r="F144" s="792" t="s">
        <v>308</v>
      </c>
      <c r="G144" s="615"/>
      <c r="H144" s="616">
        <f>H146</f>
        <v>0</v>
      </c>
      <c r="I144" s="616">
        <f>I146</f>
        <v>0</v>
      </c>
      <c r="J144" s="616">
        <f>J146</f>
        <v>0</v>
      </c>
      <c r="K144" s="793">
        <v>1122</v>
      </c>
      <c r="L144" s="793">
        <v>475</v>
      </c>
      <c r="M144" s="793">
        <v>1122</v>
      </c>
      <c r="N144" s="795">
        <f>N145</f>
        <v>0</v>
      </c>
    </row>
    <row r="145" spans="1:14" ht="25.5" customHeight="1" hidden="1">
      <c r="A145" s="791" t="s">
        <v>599</v>
      </c>
      <c r="B145" s="526" t="s">
        <v>287</v>
      </c>
      <c r="C145" s="794" t="s">
        <v>526</v>
      </c>
      <c r="D145" s="792" t="s">
        <v>88</v>
      </c>
      <c r="E145" s="751" t="s">
        <v>386</v>
      </c>
      <c r="F145" s="792" t="s">
        <v>242</v>
      </c>
      <c r="G145" s="615"/>
      <c r="H145" s="616">
        <f>H148</f>
        <v>0</v>
      </c>
      <c r="I145" s="616">
        <f>I148</f>
        <v>0</v>
      </c>
      <c r="J145" s="616">
        <f>J148</f>
        <v>0</v>
      </c>
      <c r="K145" s="793">
        <v>1122</v>
      </c>
      <c r="L145" s="793">
        <v>475</v>
      </c>
      <c r="M145" s="793">
        <v>1122</v>
      </c>
      <c r="N145" s="795">
        <v>0</v>
      </c>
    </row>
    <row r="146" spans="1:14" ht="21" customHeight="1">
      <c r="A146" s="791" t="s">
        <v>600</v>
      </c>
      <c r="B146" s="796" t="s">
        <v>601</v>
      </c>
      <c r="C146" s="797">
        <v>993</v>
      </c>
      <c r="D146" s="792" t="s">
        <v>88</v>
      </c>
      <c r="E146" s="751" t="s">
        <v>387</v>
      </c>
      <c r="F146" s="792"/>
      <c r="G146" s="615"/>
      <c r="H146" s="616"/>
      <c r="I146" s="616"/>
      <c r="J146" s="616"/>
      <c r="K146" s="793">
        <f>K148</f>
        <v>3579.6</v>
      </c>
      <c r="L146" s="793">
        <f>L148</f>
        <v>2071.3</v>
      </c>
      <c r="M146" s="793">
        <f>M148</f>
        <v>3579.6</v>
      </c>
      <c r="N146" s="660">
        <f>N147</f>
        <v>11430</v>
      </c>
    </row>
    <row r="147" spans="1:14" ht="27" customHeight="1">
      <c r="A147" s="798" t="s">
        <v>602</v>
      </c>
      <c r="B147" s="667" t="s">
        <v>309</v>
      </c>
      <c r="C147" s="799">
        <v>993</v>
      </c>
      <c r="D147" s="781" t="s">
        <v>88</v>
      </c>
      <c r="E147" s="751" t="s">
        <v>387</v>
      </c>
      <c r="F147" s="792" t="s">
        <v>308</v>
      </c>
      <c r="G147" s="728"/>
      <c r="H147" s="733"/>
      <c r="I147" s="800"/>
      <c r="J147" s="800"/>
      <c r="K147" s="801">
        <v>3579.6</v>
      </c>
      <c r="L147" s="658">
        <v>2071.3</v>
      </c>
      <c r="M147" s="659">
        <v>3579.6</v>
      </c>
      <c r="N147" s="660">
        <f>N148</f>
        <v>11430</v>
      </c>
    </row>
    <row r="148" spans="1:14" ht="24" customHeight="1" thickBot="1">
      <c r="A148" s="798" t="s">
        <v>603</v>
      </c>
      <c r="B148" s="526" t="s">
        <v>287</v>
      </c>
      <c r="C148" s="799">
        <v>993</v>
      </c>
      <c r="D148" s="781" t="s">
        <v>88</v>
      </c>
      <c r="E148" s="751" t="s">
        <v>387</v>
      </c>
      <c r="F148" s="792" t="s">
        <v>242</v>
      </c>
      <c r="G148" s="728"/>
      <c r="H148" s="733"/>
      <c r="I148" s="800"/>
      <c r="J148" s="800"/>
      <c r="K148" s="801">
        <v>3579.6</v>
      </c>
      <c r="L148" s="658">
        <v>2071.3</v>
      </c>
      <c r="M148" s="659">
        <v>3579.6</v>
      </c>
      <c r="N148" s="660">
        <v>11430</v>
      </c>
    </row>
    <row r="149" spans="1:14" ht="18.75" customHeight="1" thickBot="1">
      <c r="A149" s="734" t="s">
        <v>604</v>
      </c>
      <c r="B149" s="786" t="s">
        <v>251</v>
      </c>
      <c r="C149" s="736">
        <v>993</v>
      </c>
      <c r="D149" s="736" t="s">
        <v>88</v>
      </c>
      <c r="E149" s="651" t="s">
        <v>391</v>
      </c>
      <c r="F149" s="736"/>
      <c r="G149" s="612"/>
      <c r="H149" s="613">
        <f>H150+H159</f>
        <v>780.8000000000001</v>
      </c>
      <c r="I149" s="613">
        <f>I150+I159</f>
        <v>457.5</v>
      </c>
      <c r="J149" s="613">
        <f>J150+J159</f>
        <v>704.8000000000001</v>
      </c>
      <c r="K149" s="738">
        <f>K150+K153</f>
        <v>571.6</v>
      </c>
      <c r="L149" s="738">
        <f>L150+L153</f>
        <v>100</v>
      </c>
      <c r="M149" s="738">
        <f>M150+M153</f>
        <v>571.6</v>
      </c>
      <c r="N149" s="693">
        <f>N150+N153+N156</f>
        <v>5480</v>
      </c>
    </row>
    <row r="150" spans="1:14" ht="24" customHeight="1" hidden="1">
      <c r="A150" s="802" t="s">
        <v>591</v>
      </c>
      <c r="B150" s="776" t="s">
        <v>605</v>
      </c>
      <c r="C150" s="783" t="s">
        <v>526</v>
      </c>
      <c r="D150" s="779" t="s">
        <v>88</v>
      </c>
      <c r="E150" s="751" t="s">
        <v>388</v>
      </c>
      <c r="F150" s="779"/>
      <c r="G150" s="615"/>
      <c r="H150" s="616">
        <f aca="true" t="shared" si="12" ref="H150:N150">H152</f>
        <v>552.7</v>
      </c>
      <c r="I150" s="616">
        <f t="shared" si="12"/>
        <v>356.1</v>
      </c>
      <c r="J150" s="616">
        <f t="shared" si="12"/>
        <v>552.7</v>
      </c>
      <c r="K150" s="789">
        <f t="shared" si="12"/>
        <v>150</v>
      </c>
      <c r="L150" s="789">
        <f t="shared" si="12"/>
        <v>100</v>
      </c>
      <c r="M150" s="789">
        <f t="shared" si="12"/>
        <v>150</v>
      </c>
      <c r="N150" s="790">
        <f t="shared" si="12"/>
        <v>0</v>
      </c>
    </row>
    <row r="151" spans="1:14" ht="28.5" customHeight="1" hidden="1">
      <c r="A151" s="791" t="s">
        <v>592</v>
      </c>
      <c r="B151" s="667" t="s">
        <v>309</v>
      </c>
      <c r="C151" s="783" t="s">
        <v>526</v>
      </c>
      <c r="D151" s="779" t="s">
        <v>88</v>
      </c>
      <c r="E151" s="751" t="s">
        <v>388</v>
      </c>
      <c r="F151" s="779" t="s">
        <v>308</v>
      </c>
      <c r="G151" s="615"/>
      <c r="H151" s="616" t="e">
        <f>'[2]роспись'!H83</f>
        <v>#REF!</v>
      </c>
      <c r="I151" s="616">
        <v>356.1</v>
      </c>
      <c r="J151" s="616">
        <v>552.7</v>
      </c>
      <c r="K151" s="789">
        <v>150</v>
      </c>
      <c r="L151" s="803">
        <v>100</v>
      </c>
      <c r="M151" s="804">
        <v>150</v>
      </c>
      <c r="N151" s="660">
        <f>N152</f>
        <v>0</v>
      </c>
    </row>
    <row r="152" spans="1:14" ht="30" customHeight="1" hidden="1">
      <c r="A152" s="805" t="s">
        <v>606</v>
      </c>
      <c r="B152" s="526" t="s">
        <v>287</v>
      </c>
      <c r="C152" s="783" t="s">
        <v>526</v>
      </c>
      <c r="D152" s="779" t="s">
        <v>88</v>
      </c>
      <c r="E152" s="751" t="s">
        <v>388</v>
      </c>
      <c r="F152" s="779" t="s">
        <v>242</v>
      </c>
      <c r="G152" s="615"/>
      <c r="H152" s="616">
        <f>'[2]роспись'!H84</f>
        <v>552.7</v>
      </c>
      <c r="I152" s="616">
        <v>356.1</v>
      </c>
      <c r="J152" s="616">
        <v>552.7</v>
      </c>
      <c r="K152" s="789">
        <v>150</v>
      </c>
      <c r="L152" s="803">
        <v>100</v>
      </c>
      <c r="M152" s="804">
        <v>150</v>
      </c>
      <c r="N152" s="660">
        <v>0</v>
      </c>
    </row>
    <row r="153" spans="1:14" ht="29.25" customHeight="1">
      <c r="A153" s="798" t="s">
        <v>607</v>
      </c>
      <c r="B153" s="806" t="s">
        <v>354</v>
      </c>
      <c r="C153" s="780" t="s">
        <v>526</v>
      </c>
      <c r="D153" s="781" t="s">
        <v>88</v>
      </c>
      <c r="E153" s="751" t="s">
        <v>389</v>
      </c>
      <c r="F153" s="781"/>
      <c r="G153" s="615"/>
      <c r="H153" s="616"/>
      <c r="I153" s="616"/>
      <c r="J153" s="616"/>
      <c r="K153" s="801">
        <f>K155</f>
        <v>421.6</v>
      </c>
      <c r="L153" s="801">
        <f>L155</f>
        <v>0</v>
      </c>
      <c r="M153" s="801">
        <f>M155</f>
        <v>421.6</v>
      </c>
      <c r="N153" s="807">
        <f>N155</f>
        <v>5280</v>
      </c>
    </row>
    <row r="154" spans="1:14" ht="29.25" customHeight="1">
      <c r="A154" s="798" t="s">
        <v>608</v>
      </c>
      <c r="B154" s="667" t="s">
        <v>309</v>
      </c>
      <c r="C154" s="780" t="s">
        <v>526</v>
      </c>
      <c r="D154" s="781" t="s">
        <v>88</v>
      </c>
      <c r="E154" s="751" t="s">
        <v>389</v>
      </c>
      <c r="F154" s="781" t="s">
        <v>308</v>
      </c>
      <c r="G154" s="615"/>
      <c r="H154" s="616"/>
      <c r="I154" s="616"/>
      <c r="J154" s="616"/>
      <c r="K154" s="801">
        <v>421.6</v>
      </c>
      <c r="L154" s="808"/>
      <c r="M154" s="808">
        <v>421.6</v>
      </c>
      <c r="N154" s="660">
        <f>N155</f>
        <v>5280</v>
      </c>
    </row>
    <row r="155" spans="1:14" ht="27" customHeight="1">
      <c r="A155" s="798" t="s">
        <v>609</v>
      </c>
      <c r="B155" s="526" t="s">
        <v>287</v>
      </c>
      <c r="C155" s="780" t="s">
        <v>526</v>
      </c>
      <c r="D155" s="781" t="s">
        <v>88</v>
      </c>
      <c r="E155" s="751" t="s">
        <v>389</v>
      </c>
      <c r="F155" s="781" t="s">
        <v>242</v>
      </c>
      <c r="G155" s="615"/>
      <c r="H155" s="616"/>
      <c r="I155" s="616"/>
      <c r="J155" s="616"/>
      <c r="K155" s="801">
        <v>421.6</v>
      </c>
      <c r="L155" s="808"/>
      <c r="M155" s="808">
        <v>421.6</v>
      </c>
      <c r="N155" s="660">
        <v>5280</v>
      </c>
    </row>
    <row r="156" spans="1:14" ht="29.25" customHeight="1">
      <c r="A156" s="798" t="s">
        <v>610</v>
      </c>
      <c r="B156" s="806" t="s">
        <v>365</v>
      </c>
      <c r="C156" s="780" t="s">
        <v>526</v>
      </c>
      <c r="D156" s="781" t="s">
        <v>88</v>
      </c>
      <c r="E156" s="751" t="s">
        <v>390</v>
      </c>
      <c r="F156" s="781"/>
      <c r="G156" s="615"/>
      <c r="H156" s="616"/>
      <c r="I156" s="616"/>
      <c r="J156" s="616"/>
      <c r="K156" s="801">
        <f>K158</f>
        <v>421.6</v>
      </c>
      <c r="L156" s="801">
        <f>L158</f>
        <v>0</v>
      </c>
      <c r="M156" s="801">
        <f>M158</f>
        <v>421.6</v>
      </c>
      <c r="N156" s="807">
        <f>N158</f>
        <v>200</v>
      </c>
    </row>
    <row r="157" spans="1:14" ht="27" customHeight="1">
      <c r="A157" s="798" t="s">
        <v>611</v>
      </c>
      <c r="B157" s="667" t="s">
        <v>309</v>
      </c>
      <c r="C157" s="780" t="s">
        <v>526</v>
      </c>
      <c r="D157" s="781" t="s">
        <v>88</v>
      </c>
      <c r="E157" s="751" t="s">
        <v>390</v>
      </c>
      <c r="F157" s="781" t="s">
        <v>308</v>
      </c>
      <c r="G157" s="615"/>
      <c r="H157" s="616"/>
      <c r="I157" s="616"/>
      <c r="J157" s="616"/>
      <c r="K157" s="801">
        <v>421.6</v>
      </c>
      <c r="L157" s="808"/>
      <c r="M157" s="808">
        <v>421.6</v>
      </c>
      <c r="N157" s="660">
        <f>N158</f>
        <v>200</v>
      </c>
    </row>
    <row r="158" spans="1:14" ht="27" customHeight="1" thickBot="1">
      <c r="A158" s="798" t="s">
        <v>612</v>
      </c>
      <c r="B158" s="526" t="s">
        <v>287</v>
      </c>
      <c r="C158" s="780" t="s">
        <v>526</v>
      </c>
      <c r="D158" s="781" t="s">
        <v>88</v>
      </c>
      <c r="E158" s="755" t="s">
        <v>390</v>
      </c>
      <c r="F158" s="781" t="s">
        <v>242</v>
      </c>
      <c r="G158" s="615"/>
      <c r="H158" s="616"/>
      <c r="I158" s="616"/>
      <c r="J158" s="616"/>
      <c r="K158" s="801">
        <v>421.6</v>
      </c>
      <c r="L158" s="808"/>
      <c r="M158" s="808">
        <v>421.6</v>
      </c>
      <c r="N158" s="660">
        <v>200</v>
      </c>
    </row>
    <row r="159" spans="1:14" ht="13.5" thickBot="1">
      <c r="A159" s="734" t="s">
        <v>613</v>
      </c>
      <c r="B159" s="786" t="s">
        <v>253</v>
      </c>
      <c r="C159" s="736">
        <v>993</v>
      </c>
      <c r="D159" s="743" t="s">
        <v>88</v>
      </c>
      <c r="E159" s="744" t="s">
        <v>395</v>
      </c>
      <c r="F159" s="745"/>
      <c r="G159" s="612"/>
      <c r="H159" s="613">
        <f>H160</f>
        <v>228.1</v>
      </c>
      <c r="I159" s="613">
        <f>I160</f>
        <v>101.4</v>
      </c>
      <c r="J159" s="613">
        <f>J160</f>
        <v>152.1</v>
      </c>
      <c r="K159" s="738">
        <f>K160+K163+K166</f>
        <v>5808.799999999999</v>
      </c>
      <c r="L159" s="738">
        <f>L160+L163+L166</f>
        <v>3821.0000000000005</v>
      </c>
      <c r="M159" s="738">
        <f>M160+M163+M166</f>
        <v>5808.799999999999</v>
      </c>
      <c r="N159" s="693">
        <f>N160+N163+N166+N169</f>
        <v>28500.5</v>
      </c>
    </row>
    <row r="160" spans="1:14" ht="24">
      <c r="A160" s="802" t="s">
        <v>614</v>
      </c>
      <c r="B160" s="776" t="s">
        <v>355</v>
      </c>
      <c r="C160" s="783" t="s">
        <v>526</v>
      </c>
      <c r="D160" s="779" t="s">
        <v>88</v>
      </c>
      <c r="E160" s="751" t="s">
        <v>392</v>
      </c>
      <c r="F160" s="779"/>
      <c r="G160" s="615"/>
      <c r="H160" s="616">
        <f>'[2]роспись'!H96</f>
        <v>228.1</v>
      </c>
      <c r="I160" s="616">
        <v>101.4</v>
      </c>
      <c r="J160" s="616">
        <v>152.1</v>
      </c>
      <c r="K160" s="809">
        <f>K162</f>
        <v>3232.7</v>
      </c>
      <c r="L160" s="809">
        <f>L162</f>
        <v>1940.7</v>
      </c>
      <c r="M160" s="809">
        <f>M162</f>
        <v>3232.7</v>
      </c>
      <c r="N160" s="784">
        <f>N162</f>
        <v>15760.7</v>
      </c>
    </row>
    <row r="161" spans="1:14" ht="22.5" customHeight="1">
      <c r="A161" s="791" t="s">
        <v>615</v>
      </c>
      <c r="B161" s="667" t="s">
        <v>309</v>
      </c>
      <c r="C161" s="794" t="s">
        <v>526</v>
      </c>
      <c r="D161" s="792" t="s">
        <v>88</v>
      </c>
      <c r="E161" s="751" t="s">
        <v>392</v>
      </c>
      <c r="F161" s="792" t="s">
        <v>308</v>
      </c>
      <c r="G161" s="615"/>
      <c r="H161" s="616">
        <f aca="true" t="shared" si="13" ref="H161:J162">H162</f>
        <v>400</v>
      </c>
      <c r="I161" s="616">
        <f t="shared" si="13"/>
        <v>220</v>
      </c>
      <c r="J161" s="616">
        <f t="shared" si="13"/>
        <v>400</v>
      </c>
      <c r="K161" s="657">
        <f>3844.9-612.2</f>
        <v>3232.7</v>
      </c>
      <c r="L161" s="657">
        <v>1940.7</v>
      </c>
      <c r="M161" s="657">
        <v>3232.7</v>
      </c>
      <c r="N161" s="660">
        <f>N162</f>
        <v>15760.7</v>
      </c>
    </row>
    <row r="162" spans="1:14" ht="26.25" customHeight="1">
      <c r="A162" s="791" t="s">
        <v>616</v>
      </c>
      <c r="B162" s="526" t="s">
        <v>287</v>
      </c>
      <c r="C162" s="794" t="s">
        <v>526</v>
      </c>
      <c r="D162" s="792" t="s">
        <v>88</v>
      </c>
      <c r="E162" s="751" t="s">
        <v>392</v>
      </c>
      <c r="F162" s="792" t="s">
        <v>242</v>
      </c>
      <c r="G162" s="615"/>
      <c r="H162" s="616">
        <f t="shared" si="13"/>
        <v>400</v>
      </c>
      <c r="I162" s="616">
        <f t="shared" si="13"/>
        <v>220</v>
      </c>
      <c r="J162" s="616">
        <f t="shared" si="13"/>
        <v>400</v>
      </c>
      <c r="K162" s="657">
        <f>3844.9-612.2</f>
        <v>3232.7</v>
      </c>
      <c r="L162" s="657">
        <v>1940.7</v>
      </c>
      <c r="M162" s="657">
        <v>3232.7</v>
      </c>
      <c r="N162" s="660">
        <v>15760.7</v>
      </c>
    </row>
    <row r="163" spans="1:14" ht="18" customHeight="1">
      <c r="A163" s="791" t="s">
        <v>617</v>
      </c>
      <c r="B163" s="667" t="s">
        <v>356</v>
      </c>
      <c r="C163" s="794" t="s">
        <v>526</v>
      </c>
      <c r="D163" s="792" t="s">
        <v>88</v>
      </c>
      <c r="E163" s="751" t="s">
        <v>393</v>
      </c>
      <c r="F163" s="792"/>
      <c r="G163" s="615"/>
      <c r="H163" s="616">
        <f>H165</f>
        <v>400</v>
      </c>
      <c r="I163" s="616">
        <f aca="true" t="shared" si="14" ref="I163:N163">I165</f>
        <v>220</v>
      </c>
      <c r="J163" s="616">
        <f t="shared" si="14"/>
        <v>400</v>
      </c>
      <c r="K163" s="657">
        <v>2076.1</v>
      </c>
      <c r="L163" s="616">
        <f t="shared" si="14"/>
        <v>1865.4</v>
      </c>
      <c r="M163" s="616">
        <f t="shared" si="14"/>
        <v>2076.1</v>
      </c>
      <c r="N163" s="660">
        <f t="shared" si="14"/>
        <v>10639.8</v>
      </c>
    </row>
    <row r="164" spans="1:14" ht="26.25" customHeight="1">
      <c r="A164" s="791" t="s">
        <v>618</v>
      </c>
      <c r="B164" s="667" t="s">
        <v>309</v>
      </c>
      <c r="C164" s="794" t="s">
        <v>526</v>
      </c>
      <c r="D164" s="792" t="s">
        <v>88</v>
      </c>
      <c r="E164" s="751" t="s">
        <v>393</v>
      </c>
      <c r="F164" s="792" t="s">
        <v>308</v>
      </c>
      <c r="G164" s="615"/>
      <c r="H164" s="616">
        <f aca="true" t="shared" si="15" ref="H164:J165">H165</f>
        <v>400</v>
      </c>
      <c r="I164" s="616">
        <f t="shared" si="15"/>
        <v>220</v>
      </c>
      <c r="J164" s="616">
        <f t="shared" si="15"/>
        <v>400</v>
      </c>
      <c r="K164" s="657">
        <v>2076.1</v>
      </c>
      <c r="L164" s="657">
        <v>1865.4</v>
      </c>
      <c r="M164" s="657">
        <v>2076.1</v>
      </c>
      <c r="N164" s="660">
        <f>N165</f>
        <v>10639.8</v>
      </c>
    </row>
    <row r="165" spans="1:14" ht="27" customHeight="1">
      <c r="A165" s="791" t="s">
        <v>619</v>
      </c>
      <c r="B165" s="526" t="s">
        <v>287</v>
      </c>
      <c r="C165" s="794" t="s">
        <v>526</v>
      </c>
      <c r="D165" s="792" t="s">
        <v>88</v>
      </c>
      <c r="E165" s="751" t="s">
        <v>393</v>
      </c>
      <c r="F165" s="792" t="s">
        <v>242</v>
      </c>
      <c r="G165" s="615"/>
      <c r="H165" s="616">
        <f t="shared" si="15"/>
        <v>400</v>
      </c>
      <c r="I165" s="616">
        <f t="shared" si="15"/>
        <v>220</v>
      </c>
      <c r="J165" s="616">
        <f t="shared" si="15"/>
        <v>400</v>
      </c>
      <c r="K165" s="657">
        <v>2076.1</v>
      </c>
      <c r="L165" s="657">
        <v>1865.4</v>
      </c>
      <c r="M165" s="657">
        <v>2076.1</v>
      </c>
      <c r="N165" s="660">
        <v>10639.8</v>
      </c>
    </row>
    <row r="166" spans="1:14" ht="21" customHeight="1">
      <c r="A166" s="791" t="s">
        <v>620</v>
      </c>
      <c r="B166" s="667" t="s">
        <v>90</v>
      </c>
      <c r="C166" s="794" t="s">
        <v>526</v>
      </c>
      <c r="D166" s="792" t="s">
        <v>88</v>
      </c>
      <c r="E166" s="751" t="s">
        <v>394</v>
      </c>
      <c r="F166" s="792"/>
      <c r="G166" s="615"/>
      <c r="H166" s="616">
        <v>400</v>
      </c>
      <c r="I166" s="616">
        <v>220</v>
      </c>
      <c r="J166" s="616">
        <v>400</v>
      </c>
      <c r="K166" s="657">
        <f>K168</f>
        <v>500</v>
      </c>
      <c r="L166" s="657">
        <f>L168</f>
        <v>14.9</v>
      </c>
      <c r="M166" s="657">
        <f>M168</f>
        <v>500</v>
      </c>
      <c r="N166" s="660">
        <f>N168</f>
        <v>2100</v>
      </c>
    </row>
    <row r="167" spans="1:14" ht="24.75" customHeight="1">
      <c r="A167" s="798" t="s">
        <v>621</v>
      </c>
      <c r="B167" s="667" t="s">
        <v>309</v>
      </c>
      <c r="C167" s="780" t="s">
        <v>526</v>
      </c>
      <c r="D167" s="781" t="s">
        <v>88</v>
      </c>
      <c r="E167" s="751" t="s">
        <v>394</v>
      </c>
      <c r="F167" s="792" t="s">
        <v>308</v>
      </c>
      <c r="G167" s="615"/>
      <c r="H167" s="616" t="e">
        <f aca="true" t="shared" si="16" ref="H167:J168">H174</f>
        <v>#REF!</v>
      </c>
      <c r="I167" s="616" t="e">
        <f t="shared" si="16"/>
        <v>#REF!</v>
      </c>
      <c r="J167" s="616" t="e">
        <f t="shared" si="16"/>
        <v>#REF!</v>
      </c>
      <c r="K167" s="663">
        <v>500</v>
      </c>
      <c r="L167" s="663">
        <v>14.9</v>
      </c>
      <c r="M167" s="663">
        <v>500</v>
      </c>
      <c r="N167" s="666">
        <f>N168</f>
        <v>2100</v>
      </c>
    </row>
    <row r="168" spans="1:14" ht="27" customHeight="1">
      <c r="A168" s="798" t="s">
        <v>622</v>
      </c>
      <c r="B168" s="732" t="s">
        <v>287</v>
      </c>
      <c r="C168" s="780" t="s">
        <v>526</v>
      </c>
      <c r="D168" s="781" t="s">
        <v>88</v>
      </c>
      <c r="E168" s="755" t="s">
        <v>394</v>
      </c>
      <c r="F168" s="781" t="s">
        <v>242</v>
      </c>
      <c r="G168" s="728"/>
      <c r="H168" s="733" t="e">
        <f t="shared" si="16"/>
        <v>#REF!</v>
      </c>
      <c r="I168" s="733" t="e">
        <f t="shared" si="16"/>
        <v>#REF!</v>
      </c>
      <c r="J168" s="733" t="e">
        <f t="shared" si="16"/>
        <v>#REF!</v>
      </c>
      <c r="K168" s="663">
        <v>500</v>
      </c>
      <c r="L168" s="663">
        <v>14.9</v>
      </c>
      <c r="M168" s="663">
        <v>500</v>
      </c>
      <c r="N168" s="666">
        <v>2100</v>
      </c>
    </row>
    <row r="169" spans="1:14" ht="27" customHeight="1" thickBot="1">
      <c r="A169" s="805" t="s">
        <v>623</v>
      </c>
      <c r="B169" s="526" t="s">
        <v>624</v>
      </c>
      <c r="C169" s="794" t="s">
        <v>526</v>
      </c>
      <c r="D169" s="792" t="s">
        <v>88</v>
      </c>
      <c r="E169" s="755" t="s">
        <v>625</v>
      </c>
      <c r="F169" s="792" t="s">
        <v>242</v>
      </c>
      <c r="G169" s="615"/>
      <c r="H169" s="616"/>
      <c r="I169" s="616"/>
      <c r="J169" s="616"/>
      <c r="K169" s="616"/>
      <c r="L169" s="616"/>
      <c r="M169" s="616"/>
      <c r="N169" s="617">
        <v>0</v>
      </c>
    </row>
    <row r="170" spans="1:14" ht="13.5" thickBot="1">
      <c r="A170" s="734" t="s">
        <v>626</v>
      </c>
      <c r="B170" s="611" t="s">
        <v>50</v>
      </c>
      <c r="C170" s="612" t="s">
        <v>526</v>
      </c>
      <c r="D170" s="612" t="s">
        <v>38</v>
      </c>
      <c r="E170" s="612"/>
      <c r="F170" s="612"/>
      <c r="G170" s="612"/>
      <c r="H170" s="613" t="e">
        <f aca="true" t="shared" si="17" ref="H170:M170">H175</f>
        <v>#REF!</v>
      </c>
      <c r="I170" s="613" t="e">
        <f t="shared" si="17"/>
        <v>#REF!</v>
      </c>
      <c r="J170" s="613" t="e">
        <f t="shared" si="17"/>
        <v>#REF!</v>
      </c>
      <c r="K170" s="613" t="e">
        <f t="shared" si="17"/>
        <v>#REF!</v>
      </c>
      <c r="L170" s="613" t="e">
        <f t="shared" si="17"/>
        <v>#REF!</v>
      </c>
      <c r="M170" s="613" t="e">
        <f t="shared" si="17"/>
        <v>#REF!</v>
      </c>
      <c r="N170" s="614">
        <f>N175+N171</f>
        <v>1141.5</v>
      </c>
    </row>
    <row r="171" spans="1:14" ht="24.75" customHeight="1">
      <c r="A171" s="739" t="s">
        <v>627</v>
      </c>
      <c r="B171" s="673" t="s">
        <v>301</v>
      </c>
      <c r="C171" s="612" t="s">
        <v>526</v>
      </c>
      <c r="D171" s="612" t="s">
        <v>300</v>
      </c>
      <c r="E171" s="612"/>
      <c r="F171" s="612"/>
      <c r="G171" s="612"/>
      <c r="H171" s="613" t="e">
        <f>H175</f>
        <v>#REF!</v>
      </c>
      <c r="I171" s="613" t="e">
        <f>I175</f>
        <v>#REF!</v>
      </c>
      <c r="J171" s="613" t="e">
        <f>J175</f>
        <v>#REF!</v>
      </c>
      <c r="K171" s="613" t="e">
        <f>K175+#REF!+#REF!</f>
        <v>#REF!</v>
      </c>
      <c r="L171" s="613" t="e">
        <f>L175+#REF!+#REF!</f>
        <v>#REF!</v>
      </c>
      <c r="M171" s="613" t="e">
        <f>M175+#REF!+#REF!</f>
        <v>#REF!</v>
      </c>
      <c r="N171" s="614">
        <f>N172</f>
        <v>100</v>
      </c>
    </row>
    <row r="172" spans="1:14" ht="84" customHeight="1">
      <c r="A172" s="706" t="s">
        <v>87</v>
      </c>
      <c r="B172" s="673" t="s">
        <v>352</v>
      </c>
      <c r="C172" s="612" t="s">
        <v>526</v>
      </c>
      <c r="D172" s="612" t="s">
        <v>300</v>
      </c>
      <c r="E172" s="612" t="s">
        <v>396</v>
      </c>
      <c r="F172" s="612"/>
      <c r="G172" s="612"/>
      <c r="H172" s="613" t="e">
        <f>'[2]роспись'!H101</f>
        <v>#REF!</v>
      </c>
      <c r="I172" s="613">
        <v>309.4</v>
      </c>
      <c r="J172" s="613">
        <v>500</v>
      </c>
      <c r="K172" s="655" t="e">
        <f>K175</f>
        <v>#REF!</v>
      </c>
      <c r="L172" s="655" t="e">
        <f>L175</f>
        <v>#REF!</v>
      </c>
      <c r="M172" s="655" t="e">
        <f>M175</f>
        <v>#REF!</v>
      </c>
      <c r="N172" s="656">
        <f>N174</f>
        <v>100</v>
      </c>
    </row>
    <row r="173" spans="1:14" ht="25.5" customHeight="1">
      <c r="A173" s="674" t="s">
        <v>154</v>
      </c>
      <c r="B173" s="667" t="s">
        <v>309</v>
      </c>
      <c r="C173" s="615" t="s">
        <v>526</v>
      </c>
      <c r="D173" s="615" t="s">
        <v>300</v>
      </c>
      <c r="E173" s="615" t="s">
        <v>396</v>
      </c>
      <c r="F173" s="615" t="s">
        <v>308</v>
      </c>
      <c r="G173" s="676"/>
      <c r="H173" s="708" t="e">
        <f>H5+#REF!</f>
        <v>#REF!</v>
      </c>
      <c r="I173" s="708" t="e">
        <f>I5+#REF!</f>
        <v>#REF!</v>
      </c>
      <c r="J173" s="708" t="e">
        <f>J5+#REF!</f>
        <v>#REF!</v>
      </c>
      <c r="K173" s="657">
        <v>299</v>
      </c>
      <c r="L173" s="657">
        <v>243.6</v>
      </c>
      <c r="M173" s="657">
        <v>299</v>
      </c>
      <c r="N173" s="666">
        <f>N174</f>
        <v>100</v>
      </c>
    </row>
    <row r="174" spans="1:14" ht="26.25" customHeight="1">
      <c r="A174" s="674" t="s">
        <v>628</v>
      </c>
      <c r="B174" s="526" t="s">
        <v>287</v>
      </c>
      <c r="C174" s="615" t="s">
        <v>526</v>
      </c>
      <c r="D174" s="615" t="s">
        <v>300</v>
      </c>
      <c r="E174" s="615" t="s">
        <v>396</v>
      </c>
      <c r="F174" s="615" t="s">
        <v>242</v>
      </c>
      <c r="G174" s="676"/>
      <c r="H174" s="708" t="e">
        <f>H6+#REF!</f>
        <v>#REF!</v>
      </c>
      <c r="I174" s="708" t="e">
        <f>I6+#REF!</f>
        <v>#REF!</v>
      </c>
      <c r="J174" s="708" t="e">
        <f>J6+#REF!</f>
        <v>#REF!</v>
      </c>
      <c r="K174" s="657">
        <v>299</v>
      </c>
      <c r="L174" s="657">
        <v>243.6</v>
      </c>
      <c r="M174" s="657">
        <v>299</v>
      </c>
      <c r="N174" s="666">
        <v>100</v>
      </c>
    </row>
    <row r="175" spans="1:14" ht="18.75" customHeight="1">
      <c r="A175" s="739" t="s">
        <v>629</v>
      </c>
      <c r="B175" s="740" t="s">
        <v>630</v>
      </c>
      <c r="C175" s="651" t="s">
        <v>526</v>
      </c>
      <c r="D175" s="651" t="s">
        <v>39</v>
      </c>
      <c r="E175" s="651"/>
      <c r="F175" s="612"/>
      <c r="G175" s="612"/>
      <c r="H175" s="613" t="e">
        <f>#REF!</f>
        <v>#REF!</v>
      </c>
      <c r="I175" s="613" t="e">
        <f>#REF!</f>
        <v>#REF!</v>
      </c>
      <c r="J175" s="613" t="e">
        <f>#REF!</f>
        <v>#REF!</v>
      </c>
      <c r="K175" s="652" t="e">
        <f>#REF!+#REF!+K179</f>
        <v>#REF!</v>
      </c>
      <c r="L175" s="652" t="e">
        <f>#REF!+#REF!+L179</f>
        <v>#REF!</v>
      </c>
      <c r="M175" s="652" t="e">
        <f>#REF!+#REF!+M179</f>
        <v>#REF!</v>
      </c>
      <c r="N175" s="810">
        <f>N179+N176</f>
        <v>1041.5</v>
      </c>
    </row>
    <row r="176" spans="1:31" ht="24">
      <c r="A176" s="706" t="s">
        <v>631</v>
      </c>
      <c r="B176" s="673" t="s">
        <v>436</v>
      </c>
      <c r="C176" s="612" t="s">
        <v>526</v>
      </c>
      <c r="D176" s="612" t="s">
        <v>39</v>
      </c>
      <c r="E176" s="612" t="s">
        <v>437</v>
      </c>
      <c r="F176" s="612"/>
      <c r="G176" s="612"/>
      <c r="H176" s="613" t="e">
        <f>'[2]роспись'!H87</f>
        <v>#REF!</v>
      </c>
      <c r="I176" s="613">
        <v>309.4</v>
      </c>
      <c r="J176" s="613">
        <v>500</v>
      </c>
      <c r="K176" s="655">
        <f>K178</f>
        <v>299</v>
      </c>
      <c r="L176" s="655">
        <f>L178</f>
        <v>243.6</v>
      </c>
      <c r="M176" s="655">
        <f>M178</f>
        <v>299</v>
      </c>
      <c r="N176" s="656">
        <f>N178</f>
        <v>654.5</v>
      </c>
      <c r="AC176" s="267"/>
      <c r="AE176" s="527"/>
    </row>
    <row r="177" spans="1:31" ht="30" customHeight="1">
      <c r="A177" s="674" t="s">
        <v>632</v>
      </c>
      <c r="B177" s="667" t="s">
        <v>309</v>
      </c>
      <c r="C177" s="615" t="s">
        <v>526</v>
      </c>
      <c r="D177" s="615" t="s">
        <v>39</v>
      </c>
      <c r="E177" s="615" t="s">
        <v>437</v>
      </c>
      <c r="F177" s="615" t="s">
        <v>308</v>
      </c>
      <c r="G177" s="676"/>
      <c r="H177" s="708" t="e">
        <f>#REF!+H4</f>
        <v>#REF!</v>
      </c>
      <c r="I177" s="708" t="e">
        <f>#REF!+I4</f>
        <v>#REF!</v>
      </c>
      <c r="J177" s="708" t="e">
        <f>#REF!+J4</f>
        <v>#REF!</v>
      </c>
      <c r="K177" s="657">
        <v>299</v>
      </c>
      <c r="L177" s="657">
        <v>243.6</v>
      </c>
      <c r="M177" s="657">
        <v>299</v>
      </c>
      <c r="N177" s="666">
        <f>N178</f>
        <v>654.5</v>
      </c>
      <c r="AC177" s="267"/>
      <c r="AE177" s="527"/>
    </row>
    <row r="178" spans="1:31" ht="27.75" customHeight="1">
      <c r="A178" s="674" t="s">
        <v>633</v>
      </c>
      <c r="B178" s="526" t="s">
        <v>287</v>
      </c>
      <c r="C178" s="615" t="s">
        <v>526</v>
      </c>
      <c r="D178" s="615" t="s">
        <v>39</v>
      </c>
      <c r="E178" s="615" t="s">
        <v>437</v>
      </c>
      <c r="F178" s="615" t="s">
        <v>242</v>
      </c>
      <c r="G178" s="676"/>
      <c r="H178" s="708" t="e">
        <f>#REF!+H5</f>
        <v>#REF!</v>
      </c>
      <c r="I178" s="708" t="e">
        <f>#REF!+I5</f>
        <v>#REF!</v>
      </c>
      <c r="J178" s="708" t="e">
        <f>#REF!+J5</f>
        <v>#REF!</v>
      </c>
      <c r="K178" s="657">
        <v>299</v>
      </c>
      <c r="L178" s="657">
        <v>243.6</v>
      </c>
      <c r="M178" s="657">
        <v>299</v>
      </c>
      <c r="N178" s="666">
        <v>654.5</v>
      </c>
      <c r="AC178" s="267"/>
      <c r="AE178" s="527"/>
    </row>
    <row r="179" spans="1:14" ht="50.25" customHeight="1">
      <c r="A179" s="706" t="s">
        <v>634</v>
      </c>
      <c r="B179" s="622" t="s">
        <v>357</v>
      </c>
      <c r="C179" s="612" t="s">
        <v>526</v>
      </c>
      <c r="D179" s="612" t="s">
        <v>39</v>
      </c>
      <c r="E179" s="612" t="s">
        <v>408</v>
      </c>
      <c r="F179" s="612"/>
      <c r="G179" s="811"/>
      <c r="H179" s="812"/>
      <c r="I179" s="813"/>
      <c r="J179" s="813"/>
      <c r="K179" s="655">
        <f>K181</f>
        <v>120</v>
      </c>
      <c r="L179" s="655">
        <f>L181</f>
        <v>100</v>
      </c>
      <c r="M179" s="655">
        <f>M181</f>
        <v>120</v>
      </c>
      <c r="N179" s="656">
        <f>N181</f>
        <v>387</v>
      </c>
    </row>
    <row r="180" spans="1:14" ht="32.25" customHeight="1">
      <c r="A180" s="681" t="s">
        <v>635</v>
      </c>
      <c r="B180" s="667" t="s">
        <v>309</v>
      </c>
      <c r="C180" s="814">
        <v>993</v>
      </c>
      <c r="D180" s="728" t="s">
        <v>39</v>
      </c>
      <c r="E180" s="615" t="s">
        <v>408</v>
      </c>
      <c r="F180" s="615" t="s">
        <v>308</v>
      </c>
      <c r="G180" s="715"/>
      <c r="H180" s="716"/>
      <c r="I180" s="717"/>
      <c r="J180" s="717"/>
      <c r="K180" s="663">
        <v>120</v>
      </c>
      <c r="L180" s="663">
        <v>100</v>
      </c>
      <c r="M180" s="663">
        <v>120</v>
      </c>
      <c r="N180" s="666">
        <f>N181</f>
        <v>387</v>
      </c>
    </row>
    <row r="181" spans="1:14" ht="27.75" customHeight="1" thickBot="1">
      <c r="A181" s="681" t="s">
        <v>636</v>
      </c>
      <c r="B181" s="526" t="s">
        <v>287</v>
      </c>
      <c r="C181" s="814">
        <v>993</v>
      </c>
      <c r="D181" s="728" t="s">
        <v>39</v>
      </c>
      <c r="E181" s="615" t="s">
        <v>408</v>
      </c>
      <c r="F181" s="615" t="s">
        <v>242</v>
      </c>
      <c r="G181" s="715"/>
      <c r="H181" s="716"/>
      <c r="I181" s="717"/>
      <c r="J181" s="717"/>
      <c r="K181" s="663">
        <v>120</v>
      </c>
      <c r="L181" s="663">
        <v>100</v>
      </c>
      <c r="M181" s="663">
        <v>120</v>
      </c>
      <c r="N181" s="666">
        <v>387</v>
      </c>
    </row>
    <row r="182" spans="1:14" ht="13.5" thickBot="1">
      <c r="A182" s="734" t="s">
        <v>637</v>
      </c>
      <c r="B182" s="735" t="s">
        <v>201</v>
      </c>
      <c r="C182" s="736" t="s">
        <v>526</v>
      </c>
      <c r="D182" s="736" t="s">
        <v>40</v>
      </c>
      <c r="E182" s="736"/>
      <c r="F182" s="736"/>
      <c r="G182" s="715"/>
      <c r="H182" s="716"/>
      <c r="I182" s="717"/>
      <c r="J182" s="717"/>
      <c r="K182" s="738">
        <f>K183</f>
        <v>2689</v>
      </c>
      <c r="L182" s="738">
        <f>L183</f>
        <v>1456</v>
      </c>
      <c r="M182" s="738">
        <f>M183</f>
        <v>2689</v>
      </c>
      <c r="N182" s="693">
        <f>N183+N190</f>
        <v>12983</v>
      </c>
    </row>
    <row r="183" spans="1:14" ht="12.75">
      <c r="A183" s="739" t="s">
        <v>638</v>
      </c>
      <c r="B183" s="740" t="s">
        <v>54</v>
      </c>
      <c r="C183" s="651" t="s">
        <v>526</v>
      </c>
      <c r="D183" s="651" t="s">
        <v>55</v>
      </c>
      <c r="E183" s="651"/>
      <c r="F183" s="651"/>
      <c r="G183" s="811"/>
      <c r="H183" s="812"/>
      <c r="I183" s="813"/>
      <c r="J183" s="813"/>
      <c r="K183" s="652">
        <f>K184+K190</f>
        <v>2689</v>
      </c>
      <c r="L183" s="652">
        <f>L184+L190</f>
        <v>1456</v>
      </c>
      <c r="M183" s="652">
        <f>M184+M190</f>
        <v>2689</v>
      </c>
      <c r="N183" s="653">
        <f>'Функц.2020 (прил 3) '!$L$176</f>
        <v>4159.2</v>
      </c>
    </row>
    <row r="184" spans="1:14" ht="62.25" customHeight="1">
      <c r="A184" s="706" t="s">
        <v>63</v>
      </c>
      <c r="B184" s="673" t="s">
        <v>358</v>
      </c>
      <c r="C184" s="612" t="s">
        <v>526</v>
      </c>
      <c r="D184" s="612" t="s">
        <v>55</v>
      </c>
      <c r="E184" s="612" t="s">
        <v>397</v>
      </c>
      <c r="F184" s="612"/>
      <c r="G184" s="811"/>
      <c r="H184" s="812"/>
      <c r="I184" s="813"/>
      <c r="J184" s="813"/>
      <c r="K184" s="655">
        <f>K186</f>
        <v>1918</v>
      </c>
      <c r="L184" s="655">
        <f>L186</f>
        <v>1097.9</v>
      </c>
      <c r="M184" s="655">
        <f>M186</f>
        <v>1918</v>
      </c>
      <c r="N184" s="656">
        <f>N186</f>
        <v>2848</v>
      </c>
    </row>
    <row r="185" spans="1:14" ht="31.5" customHeight="1">
      <c r="A185" s="674" t="s">
        <v>639</v>
      </c>
      <c r="B185" s="667" t="s">
        <v>309</v>
      </c>
      <c r="C185" s="615" t="s">
        <v>526</v>
      </c>
      <c r="D185" s="615" t="s">
        <v>55</v>
      </c>
      <c r="E185" s="615" t="s">
        <v>397</v>
      </c>
      <c r="F185" s="615" t="s">
        <v>308</v>
      </c>
      <c r="G185" s="715"/>
      <c r="H185" s="716"/>
      <c r="I185" s="717"/>
      <c r="J185" s="717"/>
      <c r="K185" s="657">
        <f>1909+9</f>
        <v>1918</v>
      </c>
      <c r="L185" s="657">
        <v>1097.9</v>
      </c>
      <c r="M185" s="657">
        <v>1918</v>
      </c>
      <c r="N185" s="666">
        <f>N186</f>
        <v>2848</v>
      </c>
    </row>
    <row r="186" spans="1:14" ht="25.5" customHeight="1">
      <c r="A186" s="674" t="s">
        <v>640</v>
      </c>
      <c r="B186" s="526" t="s">
        <v>287</v>
      </c>
      <c r="C186" s="615" t="s">
        <v>526</v>
      </c>
      <c r="D186" s="615" t="s">
        <v>55</v>
      </c>
      <c r="E186" s="615" t="s">
        <v>397</v>
      </c>
      <c r="F186" s="615" t="s">
        <v>242</v>
      </c>
      <c r="G186" s="715"/>
      <c r="H186" s="716"/>
      <c r="I186" s="717"/>
      <c r="J186" s="717"/>
      <c r="K186" s="657">
        <f>1909+9</f>
        <v>1918</v>
      </c>
      <c r="L186" s="657">
        <v>1097.9</v>
      </c>
      <c r="M186" s="657">
        <v>1918</v>
      </c>
      <c r="N186" s="666">
        <v>2848</v>
      </c>
    </row>
    <row r="187" spans="1:14" ht="25.5" customHeight="1">
      <c r="A187" s="674" t="s">
        <v>16</v>
      </c>
      <c r="B187" s="711" t="s">
        <v>444</v>
      </c>
      <c r="C187" s="684" t="s">
        <v>526</v>
      </c>
      <c r="D187" s="684" t="s">
        <v>55</v>
      </c>
      <c r="E187" s="677" t="s">
        <v>445</v>
      </c>
      <c r="F187" s="615"/>
      <c r="G187" s="715"/>
      <c r="H187" s="716"/>
      <c r="I187" s="717"/>
      <c r="J187" s="717"/>
      <c r="K187" s="657"/>
      <c r="L187" s="657"/>
      <c r="M187" s="657"/>
      <c r="N187" s="666">
        <f>N188</f>
        <v>1985.3</v>
      </c>
    </row>
    <row r="188" spans="1:14" ht="28.5" customHeight="1">
      <c r="A188" s="674" t="s">
        <v>17</v>
      </c>
      <c r="B188" s="667" t="s">
        <v>309</v>
      </c>
      <c r="C188" s="728" t="s">
        <v>526</v>
      </c>
      <c r="D188" s="684" t="s">
        <v>55</v>
      </c>
      <c r="E188" s="677" t="s">
        <v>445</v>
      </c>
      <c r="F188" s="615" t="s">
        <v>308</v>
      </c>
      <c r="G188" s="715"/>
      <c r="H188" s="716"/>
      <c r="I188" s="717"/>
      <c r="J188" s="717"/>
      <c r="K188" s="657"/>
      <c r="L188" s="657"/>
      <c r="M188" s="657"/>
      <c r="N188" s="666">
        <f>N189</f>
        <v>1985.3</v>
      </c>
    </row>
    <row r="189" spans="1:14" ht="25.5" customHeight="1">
      <c r="A189" s="674" t="s">
        <v>18</v>
      </c>
      <c r="B189" s="526" t="s">
        <v>287</v>
      </c>
      <c r="C189" s="728" t="s">
        <v>526</v>
      </c>
      <c r="D189" s="684" t="s">
        <v>55</v>
      </c>
      <c r="E189" s="677" t="s">
        <v>445</v>
      </c>
      <c r="F189" s="615" t="s">
        <v>242</v>
      </c>
      <c r="G189" s="715"/>
      <c r="H189" s="716"/>
      <c r="I189" s="717"/>
      <c r="J189" s="717"/>
      <c r="K189" s="657"/>
      <c r="L189" s="657"/>
      <c r="M189" s="657"/>
      <c r="N189" s="666">
        <v>1985.3</v>
      </c>
    </row>
    <row r="190" spans="1:14" ht="15.75" customHeight="1">
      <c r="A190" s="706" t="s">
        <v>641</v>
      </c>
      <c r="B190" s="622" t="s">
        <v>288</v>
      </c>
      <c r="C190" s="612" t="s">
        <v>526</v>
      </c>
      <c r="D190" s="612" t="s">
        <v>254</v>
      </c>
      <c r="E190" s="612"/>
      <c r="F190" s="612"/>
      <c r="G190" s="811"/>
      <c r="H190" s="812"/>
      <c r="I190" s="813"/>
      <c r="J190" s="813"/>
      <c r="K190" s="655">
        <f>K193</f>
        <v>771</v>
      </c>
      <c r="L190" s="655">
        <f>L193</f>
        <v>358.1</v>
      </c>
      <c r="M190" s="655">
        <f>M193</f>
        <v>771</v>
      </c>
      <c r="N190" s="656">
        <f>N191+N194</f>
        <v>8823.8</v>
      </c>
    </row>
    <row r="191" spans="1:14" ht="27" customHeight="1">
      <c r="A191" s="815" t="s">
        <v>642</v>
      </c>
      <c r="B191" s="816" t="s">
        <v>359</v>
      </c>
      <c r="C191" s="741" t="s">
        <v>526</v>
      </c>
      <c r="D191" s="741" t="s">
        <v>254</v>
      </c>
      <c r="E191" s="612" t="s">
        <v>398</v>
      </c>
      <c r="F191" s="741"/>
      <c r="G191" s="811"/>
      <c r="H191" s="812"/>
      <c r="I191" s="813"/>
      <c r="J191" s="813"/>
      <c r="K191" s="817"/>
      <c r="L191" s="817"/>
      <c r="M191" s="817"/>
      <c r="N191" s="818">
        <f>N193</f>
        <v>503</v>
      </c>
    </row>
    <row r="192" spans="1:14" ht="30" customHeight="1">
      <c r="A192" s="681" t="s">
        <v>643</v>
      </c>
      <c r="B192" s="667" t="s">
        <v>309</v>
      </c>
      <c r="C192" s="728" t="s">
        <v>526</v>
      </c>
      <c r="D192" s="728" t="s">
        <v>254</v>
      </c>
      <c r="E192" s="615" t="s">
        <v>398</v>
      </c>
      <c r="F192" s="615" t="s">
        <v>308</v>
      </c>
      <c r="G192" s="715"/>
      <c r="H192" s="716"/>
      <c r="I192" s="717"/>
      <c r="J192" s="717"/>
      <c r="K192" s="663">
        <f>736+35</f>
        <v>771</v>
      </c>
      <c r="L192" s="663">
        <v>358.1</v>
      </c>
      <c r="M192" s="663">
        <v>771</v>
      </c>
      <c r="N192" s="666">
        <f>N193</f>
        <v>503</v>
      </c>
    </row>
    <row r="193" spans="1:14" ht="27" customHeight="1">
      <c r="A193" s="681" t="s">
        <v>644</v>
      </c>
      <c r="B193" s="526" t="s">
        <v>287</v>
      </c>
      <c r="C193" s="728" t="s">
        <v>526</v>
      </c>
      <c r="D193" s="728" t="s">
        <v>254</v>
      </c>
      <c r="E193" s="615" t="s">
        <v>398</v>
      </c>
      <c r="F193" s="615" t="s">
        <v>242</v>
      </c>
      <c r="G193" s="715"/>
      <c r="H193" s="716"/>
      <c r="I193" s="717"/>
      <c r="J193" s="717"/>
      <c r="K193" s="663">
        <f>736+35</f>
        <v>771</v>
      </c>
      <c r="L193" s="663">
        <v>358.1</v>
      </c>
      <c r="M193" s="663">
        <v>771</v>
      </c>
      <c r="N193" s="666">
        <v>503</v>
      </c>
    </row>
    <row r="194" spans="1:14" ht="27" customHeight="1">
      <c r="A194" s="819" t="s">
        <v>645</v>
      </c>
      <c r="B194" s="711" t="s">
        <v>444</v>
      </c>
      <c r="C194" s="684" t="s">
        <v>526</v>
      </c>
      <c r="D194" s="684" t="s">
        <v>254</v>
      </c>
      <c r="E194" s="677" t="s">
        <v>445</v>
      </c>
      <c r="F194" s="677"/>
      <c r="G194" s="820"/>
      <c r="H194" s="821"/>
      <c r="I194" s="822"/>
      <c r="J194" s="822"/>
      <c r="K194" s="823"/>
      <c r="L194" s="824"/>
      <c r="M194" s="824"/>
      <c r="N194" s="818">
        <f>N195+N197+N199</f>
        <v>8320.8</v>
      </c>
    </row>
    <row r="195" spans="1:14" s="385" customFormat="1" ht="36">
      <c r="A195" s="825" t="s">
        <v>646</v>
      </c>
      <c r="B195" s="669" t="s">
        <v>443</v>
      </c>
      <c r="C195" s="710" t="s">
        <v>526</v>
      </c>
      <c r="D195" s="710" t="s">
        <v>254</v>
      </c>
      <c r="E195" s="710" t="s">
        <v>445</v>
      </c>
      <c r="F195" s="710" t="s">
        <v>302</v>
      </c>
      <c r="G195" s="826" t="s">
        <v>86</v>
      </c>
      <c r="H195" s="827" t="e">
        <f>H196</f>
        <v>#REF!</v>
      </c>
      <c r="I195" s="827">
        <f>I196</f>
        <v>0</v>
      </c>
      <c r="J195" s="827" t="str">
        <f>J196</f>
        <v>12,7</v>
      </c>
      <c r="K195" s="679">
        <v>8250.9</v>
      </c>
      <c r="L195" s="827">
        <v>5168.5</v>
      </c>
      <c r="M195" s="827">
        <v>8250.9</v>
      </c>
      <c r="N195" s="709">
        <f>N196</f>
        <v>7288.2</v>
      </c>
    </row>
    <row r="196" spans="1:14" s="385" customFormat="1" ht="39.75" customHeight="1">
      <c r="A196" s="825" t="s">
        <v>647</v>
      </c>
      <c r="B196" s="669" t="s">
        <v>443</v>
      </c>
      <c r="C196" s="710" t="s">
        <v>526</v>
      </c>
      <c r="D196" s="710" t="s">
        <v>254</v>
      </c>
      <c r="E196" s="710" t="s">
        <v>445</v>
      </c>
      <c r="F196" s="710" t="s">
        <v>303</v>
      </c>
      <c r="G196" s="826" t="s">
        <v>86</v>
      </c>
      <c r="H196" s="827" t="e">
        <f>H198</f>
        <v>#REF!</v>
      </c>
      <c r="I196" s="827">
        <f>I198</f>
        <v>0</v>
      </c>
      <c r="J196" s="827" t="str">
        <f>J198</f>
        <v>12,7</v>
      </c>
      <c r="K196" s="679">
        <v>8250.9</v>
      </c>
      <c r="L196" s="827">
        <v>5168.5</v>
      </c>
      <c r="M196" s="827">
        <v>8250.9</v>
      </c>
      <c r="N196" s="709">
        <v>7288.2</v>
      </c>
    </row>
    <row r="197" spans="1:14" s="385" customFormat="1" ht="32.25" customHeight="1">
      <c r="A197" s="825" t="s">
        <v>648</v>
      </c>
      <c r="B197" s="828" t="s">
        <v>309</v>
      </c>
      <c r="C197" s="710" t="s">
        <v>526</v>
      </c>
      <c r="D197" s="710" t="s">
        <v>254</v>
      </c>
      <c r="E197" s="710" t="s">
        <v>445</v>
      </c>
      <c r="F197" s="710" t="s">
        <v>308</v>
      </c>
      <c r="G197" s="826" t="s">
        <v>86</v>
      </c>
      <c r="H197" s="827" t="e">
        <f>'[2]роспись'!H173</f>
        <v>#REF!</v>
      </c>
      <c r="I197" s="827"/>
      <c r="J197" s="827" t="s">
        <v>186</v>
      </c>
      <c r="K197" s="679" t="e">
        <f>K198+#REF!</f>
        <v>#REF!</v>
      </c>
      <c r="L197" s="679" t="e">
        <f>L198+#REF!</f>
        <v>#REF!</v>
      </c>
      <c r="M197" s="679" t="e">
        <f>M198+#REF!</f>
        <v>#REF!</v>
      </c>
      <c r="N197" s="660">
        <f>N198</f>
        <v>1027.6</v>
      </c>
    </row>
    <row r="198" spans="1:14" s="385" customFormat="1" ht="36">
      <c r="A198" s="825" t="s">
        <v>649</v>
      </c>
      <c r="B198" s="669" t="s">
        <v>287</v>
      </c>
      <c r="C198" s="710" t="s">
        <v>526</v>
      </c>
      <c r="D198" s="710" t="s">
        <v>254</v>
      </c>
      <c r="E198" s="710" t="s">
        <v>445</v>
      </c>
      <c r="F198" s="710" t="s">
        <v>242</v>
      </c>
      <c r="G198" s="826" t="s">
        <v>86</v>
      </c>
      <c r="H198" s="827" t="e">
        <f>'[2]роспись'!H174</f>
        <v>#REF!</v>
      </c>
      <c r="I198" s="827"/>
      <c r="J198" s="827" t="s">
        <v>186</v>
      </c>
      <c r="K198" s="679" t="e">
        <f>#REF!+#REF!</f>
        <v>#REF!</v>
      </c>
      <c r="L198" s="679" t="e">
        <f>#REF!+#REF!</f>
        <v>#REF!</v>
      </c>
      <c r="M198" s="679" t="e">
        <f>#REF!+#REF!</f>
        <v>#REF!</v>
      </c>
      <c r="N198" s="660">
        <v>1027.6</v>
      </c>
    </row>
    <row r="199" spans="1:14" ht="12.75">
      <c r="A199" s="829" t="s">
        <v>650</v>
      </c>
      <c r="B199" s="830" t="s">
        <v>448</v>
      </c>
      <c r="C199" s="710" t="s">
        <v>526</v>
      </c>
      <c r="D199" s="710" t="s">
        <v>254</v>
      </c>
      <c r="E199" s="710" t="s">
        <v>445</v>
      </c>
      <c r="F199" s="710" t="s">
        <v>310</v>
      </c>
      <c r="G199" s="626"/>
      <c r="H199" s="627"/>
      <c r="I199" s="628"/>
      <c r="J199" s="628"/>
      <c r="K199" s="616"/>
      <c r="L199" s="616"/>
      <c r="M199" s="616"/>
      <c r="N199" s="660">
        <v>5</v>
      </c>
    </row>
    <row r="200" spans="1:14" ht="20.25" customHeight="1" thickBot="1">
      <c r="A200" s="829" t="s">
        <v>651</v>
      </c>
      <c r="B200" s="831" t="s">
        <v>449</v>
      </c>
      <c r="C200" s="710" t="s">
        <v>526</v>
      </c>
      <c r="D200" s="710" t="s">
        <v>254</v>
      </c>
      <c r="E200" s="832" t="s">
        <v>445</v>
      </c>
      <c r="F200" s="833" t="s">
        <v>312</v>
      </c>
      <c r="G200" s="834"/>
      <c r="H200" s="835"/>
      <c r="I200" s="836"/>
      <c r="J200" s="836"/>
      <c r="K200" s="837"/>
      <c r="L200" s="837"/>
      <c r="M200" s="837"/>
      <c r="N200" s="838">
        <v>5</v>
      </c>
    </row>
    <row r="201" spans="1:14" ht="36" customHeight="1" hidden="1">
      <c r="A201" s="839" t="s">
        <v>652</v>
      </c>
      <c r="B201" s="840" t="s">
        <v>51</v>
      </c>
      <c r="C201" s="841" t="s">
        <v>526</v>
      </c>
      <c r="D201" s="841">
        <v>1000</v>
      </c>
      <c r="E201" s="841"/>
      <c r="F201" s="841"/>
      <c r="G201" s="715"/>
      <c r="H201" s="716"/>
      <c r="I201" s="717"/>
      <c r="J201" s="717"/>
      <c r="K201" s="842" t="e">
        <f>K208+K202</f>
        <v>#REF!</v>
      </c>
      <c r="L201" s="842" t="e">
        <f>L208+L202</f>
        <v>#REF!</v>
      </c>
      <c r="M201" s="842" t="e">
        <f>M208+M202</f>
        <v>#REF!</v>
      </c>
      <c r="N201" s="843">
        <f>N202+N208</f>
        <v>1307.5</v>
      </c>
    </row>
    <row r="202" spans="1:14" ht="27" customHeight="1" hidden="1">
      <c r="A202" s="739" t="s">
        <v>158</v>
      </c>
      <c r="B202" s="650" t="s">
        <v>214</v>
      </c>
      <c r="C202" s="651" t="s">
        <v>526</v>
      </c>
      <c r="D202" s="651" t="s">
        <v>213</v>
      </c>
      <c r="E202" s="651"/>
      <c r="F202" s="651"/>
      <c r="G202" s="811"/>
      <c r="H202" s="812"/>
      <c r="I202" s="813"/>
      <c r="J202" s="813"/>
      <c r="K202" s="652">
        <f>K205</f>
        <v>172.4</v>
      </c>
      <c r="L202" s="652">
        <f>L205</f>
        <v>114.9</v>
      </c>
      <c r="M202" s="652">
        <f>M205</f>
        <v>172.4</v>
      </c>
      <c r="N202" s="653">
        <f>N205</f>
        <v>343.5</v>
      </c>
    </row>
    <row r="203" spans="1:14" ht="30" customHeight="1">
      <c r="A203" s="739" t="s">
        <v>84</v>
      </c>
      <c r="B203" s="844" t="s">
        <v>425</v>
      </c>
      <c r="C203" s="751" t="s">
        <v>526</v>
      </c>
      <c r="D203" s="751" t="s">
        <v>213</v>
      </c>
      <c r="E203" s="751" t="s">
        <v>424</v>
      </c>
      <c r="F203" s="751" t="s">
        <v>314</v>
      </c>
      <c r="G203" s="715"/>
      <c r="H203" s="716"/>
      <c r="I203" s="717"/>
      <c r="J203" s="717"/>
      <c r="K203" s="652"/>
      <c r="L203" s="652"/>
      <c r="M203" s="652"/>
      <c r="N203" s="784">
        <f>N204</f>
        <v>343.5</v>
      </c>
    </row>
    <row r="204" spans="1:14" ht="27.75" customHeight="1">
      <c r="A204" s="739" t="s">
        <v>255</v>
      </c>
      <c r="B204" s="844" t="s">
        <v>423</v>
      </c>
      <c r="C204" s="751" t="s">
        <v>526</v>
      </c>
      <c r="D204" s="751" t="s">
        <v>213</v>
      </c>
      <c r="E204" s="751" t="s">
        <v>424</v>
      </c>
      <c r="F204" s="751" t="s">
        <v>315</v>
      </c>
      <c r="G204" s="715"/>
      <c r="H204" s="716"/>
      <c r="I204" s="717"/>
      <c r="J204" s="717"/>
      <c r="K204" s="652"/>
      <c r="L204" s="652"/>
      <c r="M204" s="652"/>
      <c r="N204" s="784">
        <f>N205</f>
        <v>343.5</v>
      </c>
    </row>
    <row r="205" spans="1:14" ht="38.25" customHeight="1">
      <c r="A205" s="706" t="s">
        <v>84</v>
      </c>
      <c r="B205" s="845" t="s">
        <v>653</v>
      </c>
      <c r="C205" s="662" t="s">
        <v>526</v>
      </c>
      <c r="D205" s="662" t="s">
        <v>213</v>
      </c>
      <c r="E205" s="741" t="s">
        <v>399</v>
      </c>
      <c r="F205" s="662"/>
      <c r="G205" s="811"/>
      <c r="H205" s="812"/>
      <c r="I205" s="813"/>
      <c r="J205" s="813"/>
      <c r="K205" s="655">
        <f>K207</f>
        <v>172.4</v>
      </c>
      <c r="L205" s="655">
        <f>L207</f>
        <v>114.9</v>
      </c>
      <c r="M205" s="655">
        <f>M207</f>
        <v>172.4</v>
      </c>
      <c r="N205" s="656">
        <f>N207</f>
        <v>343.5</v>
      </c>
    </row>
    <row r="206" spans="1:14" ht="21" customHeight="1">
      <c r="A206" s="681" t="s">
        <v>255</v>
      </c>
      <c r="B206" s="806" t="s">
        <v>316</v>
      </c>
      <c r="C206" s="781" t="s">
        <v>526</v>
      </c>
      <c r="D206" s="781" t="s">
        <v>213</v>
      </c>
      <c r="E206" s="728" t="s">
        <v>399</v>
      </c>
      <c r="F206" s="781" t="s">
        <v>314</v>
      </c>
      <c r="G206" s="715"/>
      <c r="H206" s="716"/>
      <c r="I206" s="717"/>
      <c r="J206" s="717"/>
      <c r="K206" s="657">
        <v>172.4</v>
      </c>
      <c r="L206" s="657">
        <v>114.9</v>
      </c>
      <c r="M206" s="657">
        <v>172.4</v>
      </c>
      <c r="N206" s="660">
        <f>N207</f>
        <v>343.5</v>
      </c>
    </row>
    <row r="207" spans="1:14" ht="18.75" customHeight="1">
      <c r="A207" s="681" t="s">
        <v>654</v>
      </c>
      <c r="B207" s="806" t="s">
        <v>317</v>
      </c>
      <c r="C207" s="781" t="s">
        <v>526</v>
      </c>
      <c r="D207" s="781" t="s">
        <v>213</v>
      </c>
      <c r="E207" s="728" t="s">
        <v>399</v>
      </c>
      <c r="F207" s="781" t="s">
        <v>315</v>
      </c>
      <c r="G207" s="715"/>
      <c r="H207" s="716"/>
      <c r="I207" s="717"/>
      <c r="J207" s="717"/>
      <c r="K207" s="657">
        <v>172.4</v>
      </c>
      <c r="L207" s="657">
        <v>114.9</v>
      </c>
      <c r="M207" s="657">
        <v>172.4</v>
      </c>
      <c r="N207" s="660">
        <v>343.5</v>
      </c>
    </row>
    <row r="208" spans="1:14" ht="21.75" customHeight="1">
      <c r="A208" s="706" t="s">
        <v>655</v>
      </c>
      <c r="B208" s="673" t="s">
        <v>170</v>
      </c>
      <c r="C208" s="612" t="s">
        <v>526</v>
      </c>
      <c r="D208" s="612" t="s">
        <v>56</v>
      </c>
      <c r="E208" s="612"/>
      <c r="F208" s="612"/>
      <c r="G208" s="715"/>
      <c r="H208" s="716"/>
      <c r="I208" s="717"/>
      <c r="J208" s="717"/>
      <c r="K208" s="655" t="e">
        <f>#REF!+#REF!+K209</f>
        <v>#REF!</v>
      </c>
      <c r="L208" s="655" t="e">
        <f>#REF!+#REF!+L209</f>
        <v>#REF!</v>
      </c>
      <c r="M208" s="655" t="e">
        <f>#REF!+#REF!+M209</f>
        <v>#REF!</v>
      </c>
      <c r="N208" s="656">
        <f>N209</f>
        <v>964</v>
      </c>
    </row>
    <row r="209" spans="1:14" ht="38.25" customHeight="1">
      <c r="A209" s="672" t="s">
        <v>198</v>
      </c>
      <c r="B209" s="673" t="s">
        <v>413</v>
      </c>
      <c r="C209" s="612" t="s">
        <v>526</v>
      </c>
      <c r="D209" s="612" t="s">
        <v>56</v>
      </c>
      <c r="E209" s="612" t="s">
        <v>414</v>
      </c>
      <c r="F209" s="612"/>
      <c r="G209" s="715"/>
      <c r="H209" s="716"/>
      <c r="I209" s="717"/>
      <c r="J209" s="717"/>
      <c r="K209" s="846">
        <f>K211</f>
        <v>602.4</v>
      </c>
      <c r="L209" s="846">
        <f>L211</f>
        <v>229.4</v>
      </c>
      <c r="M209" s="846">
        <f>M211</f>
        <v>344.1</v>
      </c>
      <c r="N209" s="847">
        <f>N211</f>
        <v>964</v>
      </c>
    </row>
    <row r="210" spans="1:14" ht="21" customHeight="1">
      <c r="A210" s="674" t="s">
        <v>200</v>
      </c>
      <c r="B210" s="806" t="s">
        <v>316</v>
      </c>
      <c r="C210" s="615" t="s">
        <v>526</v>
      </c>
      <c r="D210" s="615" t="s">
        <v>56</v>
      </c>
      <c r="E210" s="615" t="s">
        <v>414</v>
      </c>
      <c r="F210" s="615" t="s">
        <v>314</v>
      </c>
      <c r="G210" s="715"/>
      <c r="H210" s="716"/>
      <c r="I210" s="717"/>
      <c r="J210" s="717"/>
      <c r="K210" s="657">
        <v>602.4</v>
      </c>
      <c r="L210" s="657">
        <v>229.4</v>
      </c>
      <c r="M210" s="657">
        <v>344.1</v>
      </c>
      <c r="N210" s="660">
        <f>N211</f>
        <v>964</v>
      </c>
    </row>
    <row r="211" spans="1:14" ht="25.5" customHeight="1" thickBot="1">
      <c r="A211" s="674" t="s">
        <v>656</v>
      </c>
      <c r="B211" s="806" t="s">
        <v>317</v>
      </c>
      <c r="C211" s="615" t="s">
        <v>526</v>
      </c>
      <c r="D211" s="615" t="s">
        <v>56</v>
      </c>
      <c r="E211" s="615" t="s">
        <v>414</v>
      </c>
      <c r="F211" s="615" t="s">
        <v>315</v>
      </c>
      <c r="G211" s="715"/>
      <c r="H211" s="716"/>
      <c r="I211" s="717"/>
      <c r="J211" s="717"/>
      <c r="K211" s="657">
        <v>602.4</v>
      </c>
      <c r="L211" s="657">
        <v>229.4</v>
      </c>
      <c r="M211" s="657">
        <v>344.1</v>
      </c>
      <c r="N211" s="660">
        <v>964</v>
      </c>
    </row>
    <row r="212" spans="1:14" ht="68.25" customHeight="1" hidden="1">
      <c r="A212" s="734" t="s">
        <v>657</v>
      </c>
      <c r="B212" s="735" t="s">
        <v>169</v>
      </c>
      <c r="C212" s="736" t="s">
        <v>526</v>
      </c>
      <c r="D212" s="736" t="s">
        <v>180</v>
      </c>
      <c r="E212" s="736"/>
      <c r="F212" s="736"/>
      <c r="G212" s="715"/>
      <c r="H212" s="716"/>
      <c r="I212" s="717"/>
      <c r="J212" s="717"/>
      <c r="K212" s="738">
        <f aca="true" t="shared" si="18" ref="K212:N213">K213</f>
        <v>653</v>
      </c>
      <c r="L212" s="738">
        <f t="shared" si="18"/>
        <v>424.3</v>
      </c>
      <c r="M212" s="738">
        <f t="shared" si="18"/>
        <v>653</v>
      </c>
      <c r="N212" s="693">
        <f t="shared" si="18"/>
        <v>2205.1000000000004</v>
      </c>
    </row>
    <row r="213" spans="1:14" ht="24.75" customHeight="1" hidden="1">
      <c r="A213" s="739" t="s">
        <v>658</v>
      </c>
      <c r="B213" s="740" t="s">
        <v>181</v>
      </c>
      <c r="C213" s="651" t="s">
        <v>526</v>
      </c>
      <c r="D213" s="651" t="s">
        <v>179</v>
      </c>
      <c r="E213" s="651"/>
      <c r="F213" s="651"/>
      <c r="G213" s="811"/>
      <c r="H213" s="812"/>
      <c r="I213" s="813"/>
      <c r="J213" s="813"/>
      <c r="K213" s="652">
        <f t="shared" si="18"/>
        <v>653</v>
      </c>
      <c r="L213" s="652">
        <f t="shared" si="18"/>
        <v>424.3</v>
      </c>
      <c r="M213" s="652">
        <f t="shared" si="18"/>
        <v>653</v>
      </c>
      <c r="N213" s="653">
        <f>N214+N219</f>
        <v>2205.1000000000004</v>
      </c>
    </row>
    <row r="214" spans="1:14" ht="24.75" customHeight="1" hidden="1">
      <c r="A214" s="706" t="s">
        <v>659</v>
      </c>
      <c r="B214" s="622" t="s">
        <v>660</v>
      </c>
      <c r="C214" s="612" t="s">
        <v>526</v>
      </c>
      <c r="D214" s="612" t="s">
        <v>179</v>
      </c>
      <c r="E214" s="741" t="s">
        <v>400</v>
      </c>
      <c r="F214" s="612"/>
      <c r="G214" s="811"/>
      <c r="H214" s="812"/>
      <c r="I214" s="813"/>
      <c r="J214" s="813"/>
      <c r="K214" s="655">
        <f>K218</f>
        <v>653</v>
      </c>
      <c r="L214" s="655">
        <f>L218</f>
        <v>424.3</v>
      </c>
      <c r="M214" s="655">
        <f>M218</f>
        <v>653</v>
      </c>
      <c r="N214" s="656">
        <f>N217</f>
        <v>570.2</v>
      </c>
    </row>
    <row r="215" spans="1:14" ht="24.75" customHeight="1" thickBot="1">
      <c r="A215" s="815"/>
      <c r="B215" s="848" t="s">
        <v>169</v>
      </c>
      <c r="C215" s="763" t="s">
        <v>180</v>
      </c>
      <c r="D215" s="763"/>
      <c r="E215" s="763"/>
      <c r="F215" s="715"/>
      <c r="G215" s="716"/>
      <c r="H215" s="717"/>
      <c r="I215" s="717"/>
      <c r="J215" s="764">
        <f>J216</f>
        <v>0</v>
      </c>
      <c r="K215" s="764">
        <f>K216</f>
        <v>0</v>
      </c>
      <c r="L215" s="764">
        <f>L216</f>
        <v>0</v>
      </c>
      <c r="M215" s="765" t="e">
        <f>M216</f>
        <v>#REF!</v>
      </c>
      <c r="N215" s="818">
        <f>'Функц.2020 (прил 3) '!$L$210</f>
        <v>2205.1000000000004</v>
      </c>
    </row>
    <row r="216" spans="1:14" ht="24.75" customHeight="1">
      <c r="A216" s="815"/>
      <c r="B216" s="849" t="s">
        <v>181</v>
      </c>
      <c r="C216" s="850" t="s">
        <v>179</v>
      </c>
      <c r="D216" s="850"/>
      <c r="E216" s="850"/>
      <c r="F216" s="851"/>
      <c r="G216" s="852"/>
      <c r="H216" s="853"/>
      <c r="I216" s="853"/>
      <c r="J216" s="854">
        <f>J219</f>
        <v>0</v>
      </c>
      <c r="K216" s="854">
        <f>K219</f>
        <v>0</v>
      </c>
      <c r="L216" s="854">
        <f>L219</f>
        <v>0</v>
      </c>
      <c r="M216" s="855" t="e">
        <f>M219+M222</f>
        <v>#REF!</v>
      </c>
      <c r="N216" s="818">
        <f>'Функц.2020 (прил 3) '!$L$211</f>
        <v>2205.1000000000004</v>
      </c>
    </row>
    <row r="217" spans="1:14" ht="30" customHeight="1">
      <c r="A217" s="681" t="s">
        <v>661</v>
      </c>
      <c r="B217" s="667" t="s">
        <v>309</v>
      </c>
      <c r="C217" s="728" t="s">
        <v>526</v>
      </c>
      <c r="D217" s="728" t="s">
        <v>179</v>
      </c>
      <c r="E217" s="728" t="s">
        <v>400</v>
      </c>
      <c r="F217" s="728" t="s">
        <v>308</v>
      </c>
      <c r="G217" s="715"/>
      <c r="H217" s="716"/>
      <c r="I217" s="717"/>
      <c r="J217" s="717"/>
      <c r="K217" s="663">
        <f>697-44</f>
        <v>653</v>
      </c>
      <c r="L217" s="663">
        <v>424.3</v>
      </c>
      <c r="M217" s="663">
        <v>653</v>
      </c>
      <c r="N217" s="666">
        <f>N218</f>
        <v>570.2</v>
      </c>
    </row>
    <row r="218" spans="1:14" s="385" customFormat="1" ht="37.5" customHeight="1">
      <c r="A218" s="681" t="s">
        <v>662</v>
      </c>
      <c r="B218" s="526" t="s">
        <v>287</v>
      </c>
      <c r="C218" s="728" t="s">
        <v>526</v>
      </c>
      <c r="D218" s="728" t="s">
        <v>179</v>
      </c>
      <c r="E218" s="728" t="s">
        <v>400</v>
      </c>
      <c r="F218" s="728" t="s">
        <v>242</v>
      </c>
      <c r="G218" s="715"/>
      <c r="H218" s="716"/>
      <c r="I218" s="717"/>
      <c r="J218" s="717"/>
      <c r="K218" s="663">
        <f>697-44</f>
        <v>653</v>
      </c>
      <c r="L218" s="663">
        <v>424.3</v>
      </c>
      <c r="M218" s="663">
        <v>653</v>
      </c>
      <c r="N218" s="666">
        <v>570.2</v>
      </c>
    </row>
    <row r="219" spans="1:14" s="385" customFormat="1" ht="30.75" customHeight="1">
      <c r="A219" s="819" t="s">
        <v>659</v>
      </c>
      <c r="B219" s="711" t="s">
        <v>444</v>
      </c>
      <c r="C219" s="684" t="s">
        <v>526</v>
      </c>
      <c r="D219" s="684" t="s">
        <v>179</v>
      </c>
      <c r="E219" s="677" t="s">
        <v>445</v>
      </c>
      <c r="F219" s="684"/>
      <c r="G219" s="820"/>
      <c r="H219" s="821"/>
      <c r="I219" s="822"/>
      <c r="J219" s="822"/>
      <c r="K219" s="823"/>
      <c r="L219" s="824"/>
      <c r="M219" s="824"/>
      <c r="N219" s="818">
        <f>N220</f>
        <v>1634.9</v>
      </c>
    </row>
    <row r="220" spans="1:14" s="385" customFormat="1" ht="24.75" customHeight="1">
      <c r="A220" s="825" t="s">
        <v>661</v>
      </c>
      <c r="B220" s="669" t="s">
        <v>443</v>
      </c>
      <c r="C220" s="710" t="s">
        <v>526</v>
      </c>
      <c r="D220" s="710" t="s">
        <v>179</v>
      </c>
      <c r="E220" s="710" t="s">
        <v>445</v>
      </c>
      <c r="F220" s="710" t="s">
        <v>302</v>
      </c>
      <c r="G220" s="826" t="s">
        <v>86</v>
      </c>
      <c r="H220" s="827" t="e">
        <f>H221</f>
        <v>#REF!</v>
      </c>
      <c r="I220" s="827">
        <f>I221</f>
        <v>0</v>
      </c>
      <c r="J220" s="827" t="str">
        <f>J221</f>
        <v>12,7</v>
      </c>
      <c r="K220" s="679">
        <v>8250.9</v>
      </c>
      <c r="L220" s="827">
        <v>5168.5</v>
      </c>
      <c r="M220" s="827">
        <v>8250.9</v>
      </c>
      <c r="N220" s="709">
        <f>N221</f>
        <v>1634.9</v>
      </c>
    </row>
    <row r="221" spans="1:14" s="385" customFormat="1" ht="24.75" customHeight="1" thickBot="1">
      <c r="A221" s="825" t="s">
        <v>662</v>
      </c>
      <c r="B221" s="669" t="s">
        <v>443</v>
      </c>
      <c r="C221" s="710" t="s">
        <v>526</v>
      </c>
      <c r="D221" s="710" t="s">
        <v>179</v>
      </c>
      <c r="E221" s="710" t="s">
        <v>445</v>
      </c>
      <c r="F221" s="710" t="s">
        <v>303</v>
      </c>
      <c r="G221" s="826" t="s">
        <v>86</v>
      </c>
      <c r="H221" s="827" t="e">
        <f>H223</f>
        <v>#REF!</v>
      </c>
      <c r="I221" s="827">
        <f>I223</f>
        <v>0</v>
      </c>
      <c r="J221" s="827" t="str">
        <f>J223</f>
        <v>12,7</v>
      </c>
      <c r="K221" s="679">
        <v>8250.9</v>
      </c>
      <c r="L221" s="827">
        <v>5168.5</v>
      </c>
      <c r="M221" s="827">
        <v>8250.9</v>
      </c>
      <c r="N221" s="709">
        <v>1634.9</v>
      </c>
    </row>
    <row r="222" spans="1:14" ht="60.75" hidden="1" thickBot="1">
      <c r="A222" s="825" t="s">
        <v>663</v>
      </c>
      <c r="B222" s="828" t="s">
        <v>309</v>
      </c>
      <c r="C222" s="710" t="s">
        <v>526</v>
      </c>
      <c r="D222" s="710" t="s">
        <v>179</v>
      </c>
      <c r="E222" s="710" t="s">
        <v>445</v>
      </c>
      <c r="F222" s="710" t="s">
        <v>308</v>
      </c>
      <c r="G222" s="826" t="s">
        <v>86</v>
      </c>
      <c r="H222" s="827" t="e">
        <f>'[2]роспись'!H193</f>
        <v>#REF!</v>
      </c>
      <c r="I222" s="827"/>
      <c r="J222" s="827" t="s">
        <v>186</v>
      </c>
      <c r="K222" s="679" t="e">
        <f>K223+#REF!</f>
        <v>#REF!</v>
      </c>
      <c r="L222" s="679" t="e">
        <f>L223+#REF!</f>
        <v>#REF!</v>
      </c>
      <c r="M222" s="679" t="e">
        <f>M223+#REF!</f>
        <v>#REF!</v>
      </c>
      <c r="N222" s="660">
        <f>N223</f>
        <v>513.8</v>
      </c>
    </row>
    <row r="223" spans="1:14" ht="36.75" hidden="1" thickBot="1">
      <c r="A223" s="825" t="s">
        <v>664</v>
      </c>
      <c r="B223" s="669" t="s">
        <v>287</v>
      </c>
      <c r="C223" s="710" t="s">
        <v>526</v>
      </c>
      <c r="D223" s="710" t="s">
        <v>179</v>
      </c>
      <c r="E223" s="710" t="s">
        <v>445</v>
      </c>
      <c r="F223" s="710" t="s">
        <v>242</v>
      </c>
      <c r="G223" s="826" t="s">
        <v>86</v>
      </c>
      <c r="H223" s="827" t="e">
        <f>'[2]роспись'!H194</f>
        <v>#REF!</v>
      </c>
      <c r="I223" s="827"/>
      <c r="J223" s="827" t="s">
        <v>186</v>
      </c>
      <c r="K223" s="679" t="e">
        <f>#REF!+#REF!</f>
        <v>#REF!</v>
      </c>
      <c r="L223" s="679" t="e">
        <f>#REF!+#REF!</f>
        <v>#REF!</v>
      </c>
      <c r="M223" s="679" t="e">
        <f>#REF!+#REF!</f>
        <v>#REF!</v>
      </c>
      <c r="N223" s="660">
        <v>513.8</v>
      </c>
    </row>
    <row r="224" spans="1:14" ht="13.5" thickBot="1">
      <c r="A224" s="734" t="s">
        <v>665</v>
      </c>
      <c r="B224" s="735" t="s">
        <v>182</v>
      </c>
      <c r="C224" s="736" t="s">
        <v>526</v>
      </c>
      <c r="D224" s="736" t="s">
        <v>183</v>
      </c>
      <c r="E224" s="736"/>
      <c r="F224" s="736"/>
      <c r="G224" s="715"/>
      <c r="H224" s="716"/>
      <c r="I224" s="717"/>
      <c r="J224" s="717"/>
      <c r="K224" s="738">
        <f>K225</f>
        <v>766</v>
      </c>
      <c r="L224" s="738">
        <f>L225</f>
        <v>448.7</v>
      </c>
      <c r="M224" s="738">
        <f>M225</f>
        <v>766</v>
      </c>
      <c r="N224" s="693">
        <f>N225</f>
        <v>750.8</v>
      </c>
    </row>
    <row r="225" spans="1:14" ht="27" customHeight="1">
      <c r="A225" s="739" t="s">
        <v>666</v>
      </c>
      <c r="B225" s="740" t="s">
        <v>185</v>
      </c>
      <c r="C225" s="651" t="s">
        <v>526</v>
      </c>
      <c r="D225" s="651" t="s">
        <v>184</v>
      </c>
      <c r="E225" s="651"/>
      <c r="F225" s="651"/>
      <c r="G225" s="811"/>
      <c r="H225" s="812"/>
      <c r="I225" s="813"/>
      <c r="J225" s="813"/>
      <c r="K225" s="652">
        <f>K226+K229</f>
        <v>766</v>
      </c>
      <c r="L225" s="652">
        <f>L226+L229</f>
        <v>448.7</v>
      </c>
      <c r="M225" s="652">
        <f>M226+M229</f>
        <v>766</v>
      </c>
      <c r="N225" s="653">
        <f>N226</f>
        <v>750.8</v>
      </c>
    </row>
    <row r="226" spans="1:14" ht="29.25" customHeight="1">
      <c r="A226" s="706" t="s">
        <v>667</v>
      </c>
      <c r="B226" s="622" t="s">
        <v>668</v>
      </c>
      <c r="C226" s="612" t="s">
        <v>526</v>
      </c>
      <c r="D226" s="612" t="s">
        <v>184</v>
      </c>
      <c r="E226" s="612" t="s">
        <v>401</v>
      </c>
      <c r="F226" s="612"/>
      <c r="G226" s="811"/>
      <c r="H226" s="812"/>
      <c r="I226" s="813"/>
      <c r="J226" s="813"/>
      <c r="K226" s="655">
        <f>K228</f>
        <v>653.9</v>
      </c>
      <c r="L226" s="655">
        <f>L228</f>
        <v>388.9</v>
      </c>
      <c r="M226" s="655">
        <f>M228</f>
        <v>653.9</v>
      </c>
      <c r="N226" s="656">
        <f>N230</f>
        <v>750.8</v>
      </c>
    </row>
    <row r="227" spans="1:14" ht="22.5" customHeight="1" hidden="1">
      <c r="A227" s="674" t="s">
        <v>669</v>
      </c>
      <c r="B227" s="667" t="s">
        <v>309</v>
      </c>
      <c r="C227" s="615" t="s">
        <v>526</v>
      </c>
      <c r="D227" s="615" t="s">
        <v>184</v>
      </c>
      <c r="E227" s="615" t="s">
        <v>401</v>
      </c>
      <c r="F227" s="728" t="s">
        <v>308</v>
      </c>
      <c r="G227" s="715"/>
      <c r="H227" s="716"/>
      <c r="I227" s="717"/>
      <c r="J227" s="717"/>
      <c r="K227" s="657">
        <v>653.9</v>
      </c>
      <c r="L227" s="657">
        <v>388.9</v>
      </c>
      <c r="M227" s="657">
        <v>653.9</v>
      </c>
      <c r="N227" s="660">
        <f>N228</f>
        <v>692.4</v>
      </c>
    </row>
    <row r="228" spans="1:14" ht="36" customHeight="1" hidden="1">
      <c r="A228" s="674" t="s">
        <v>670</v>
      </c>
      <c r="B228" s="526" t="s">
        <v>287</v>
      </c>
      <c r="C228" s="615" t="s">
        <v>526</v>
      </c>
      <c r="D228" s="615" t="s">
        <v>184</v>
      </c>
      <c r="E228" s="615" t="s">
        <v>401</v>
      </c>
      <c r="F228" s="728" t="s">
        <v>242</v>
      </c>
      <c r="G228" s="715"/>
      <c r="H228" s="716"/>
      <c r="I228" s="717"/>
      <c r="J228" s="717"/>
      <c r="K228" s="657">
        <v>653.9</v>
      </c>
      <c r="L228" s="657">
        <v>388.9</v>
      </c>
      <c r="M228" s="657">
        <v>653.9</v>
      </c>
      <c r="N228" s="660">
        <v>692.4</v>
      </c>
    </row>
    <row r="229" spans="1:14" ht="28.5" customHeight="1" hidden="1">
      <c r="A229" s="706" t="s">
        <v>671</v>
      </c>
      <c r="B229" s="816" t="s">
        <v>672</v>
      </c>
      <c r="C229" s="612" t="s">
        <v>526</v>
      </c>
      <c r="D229" s="612" t="s">
        <v>184</v>
      </c>
      <c r="E229" s="612" t="s">
        <v>673</v>
      </c>
      <c r="F229" s="612"/>
      <c r="G229" s="811"/>
      <c r="H229" s="812"/>
      <c r="I229" s="813"/>
      <c r="J229" s="813"/>
      <c r="K229" s="817">
        <f>K231</f>
        <v>112.1</v>
      </c>
      <c r="L229" s="817">
        <f>L231</f>
        <v>59.8</v>
      </c>
      <c r="M229" s="817">
        <f>M231</f>
        <v>112.1</v>
      </c>
      <c r="N229" s="818">
        <f>N231</f>
        <v>750.8</v>
      </c>
    </row>
    <row r="230" spans="1:14" ht="42.75" customHeight="1">
      <c r="A230" s="681" t="s">
        <v>674</v>
      </c>
      <c r="B230" s="667" t="s">
        <v>309</v>
      </c>
      <c r="C230" s="728" t="s">
        <v>526</v>
      </c>
      <c r="D230" s="728" t="s">
        <v>184</v>
      </c>
      <c r="E230" s="615" t="s">
        <v>673</v>
      </c>
      <c r="F230" s="728" t="s">
        <v>308</v>
      </c>
      <c r="G230" s="715"/>
      <c r="H230" s="716"/>
      <c r="I230" s="717"/>
      <c r="J230" s="717"/>
      <c r="K230" s="663">
        <v>112.1</v>
      </c>
      <c r="L230" s="663">
        <v>59.8</v>
      </c>
      <c r="M230" s="663">
        <v>112.1</v>
      </c>
      <c r="N230" s="666">
        <f>N231</f>
        <v>750.8</v>
      </c>
    </row>
    <row r="231" spans="1:14" ht="36.75" thickBot="1">
      <c r="A231" s="681" t="s">
        <v>675</v>
      </c>
      <c r="B231" s="526" t="s">
        <v>287</v>
      </c>
      <c r="C231" s="728" t="s">
        <v>526</v>
      </c>
      <c r="D231" s="728" t="s">
        <v>184</v>
      </c>
      <c r="E231" s="615" t="s">
        <v>673</v>
      </c>
      <c r="F231" s="728" t="s">
        <v>242</v>
      </c>
      <c r="G231" s="715"/>
      <c r="H231" s="716"/>
      <c r="I231" s="717"/>
      <c r="J231" s="717"/>
      <c r="K231" s="663">
        <v>112.1</v>
      </c>
      <c r="L231" s="663">
        <v>59.8</v>
      </c>
      <c r="M231" s="663">
        <v>112.1</v>
      </c>
      <c r="N231" s="666">
        <v>750.8</v>
      </c>
    </row>
    <row r="232" spans="1:14" ht="15" thickBot="1">
      <c r="A232" s="856"/>
      <c r="B232" s="630" t="s">
        <v>52</v>
      </c>
      <c r="C232" s="630"/>
      <c r="D232" s="631"/>
      <c r="E232" s="631"/>
      <c r="F232" s="631"/>
      <c r="G232" s="632"/>
      <c r="H232" s="633"/>
      <c r="I232" s="634"/>
      <c r="J232" s="634"/>
      <c r="K232" s="635" t="e">
        <f>K9+K40</f>
        <v>#REF!</v>
      </c>
      <c r="L232" s="635" t="e">
        <f>L9+L40</f>
        <v>#REF!</v>
      </c>
      <c r="M232" s="635" t="e">
        <f>M9+M40</f>
        <v>#REF!</v>
      </c>
      <c r="N232" s="636">
        <f>N9+N40+N35</f>
        <v>147588</v>
      </c>
    </row>
    <row r="235" ht="12.75">
      <c r="N235" s="114"/>
    </row>
  </sheetData>
  <sheetProtection/>
  <mergeCells count="4">
    <mergeCell ref="F4:N4"/>
    <mergeCell ref="A5:H5"/>
    <mergeCell ref="I5:K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7.7109375" style="0" customWidth="1"/>
    <col min="2" max="2" width="46.8515625" style="0" customWidth="1"/>
    <col min="3" max="3" width="21.421875" style="0" customWidth="1"/>
  </cols>
  <sheetData>
    <row r="1" spans="1:3" ht="25.5">
      <c r="A1" s="265"/>
      <c r="B1" s="528"/>
      <c r="C1" s="529" t="s">
        <v>676</v>
      </c>
    </row>
    <row r="2" spans="1:3" ht="12.75" customHeight="1">
      <c r="A2" s="530"/>
      <c r="B2" s="530"/>
      <c r="C2" s="352" t="s">
        <v>446</v>
      </c>
    </row>
    <row r="3" spans="1:10" ht="12.75">
      <c r="A3" s="115"/>
      <c r="B3" s="115"/>
      <c r="C3" s="531"/>
      <c r="D3" s="115"/>
      <c r="E3" s="115"/>
      <c r="F3" s="115"/>
      <c r="G3" s="115"/>
      <c r="H3" s="115"/>
      <c r="I3" s="115"/>
      <c r="J3" s="115"/>
    </row>
    <row r="4" spans="1:10" ht="12.75">
      <c r="A4" s="491"/>
      <c r="B4" s="571"/>
      <c r="C4" s="571"/>
      <c r="D4" s="115"/>
      <c r="E4" s="115"/>
      <c r="F4" s="115"/>
      <c r="G4" s="115"/>
      <c r="H4" s="115"/>
      <c r="I4" s="115"/>
      <c r="J4" s="115"/>
    </row>
    <row r="5" spans="1:3" ht="15.75">
      <c r="A5" s="575" t="s">
        <v>677</v>
      </c>
      <c r="B5" s="575"/>
      <c r="C5" s="575"/>
    </row>
    <row r="6" spans="1:3" ht="15.75">
      <c r="A6" s="575" t="s">
        <v>678</v>
      </c>
      <c r="B6" s="575"/>
      <c r="C6" s="575"/>
    </row>
    <row r="7" spans="1:3" ht="15.75">
      <c r="A7" s="575" t="s">
        <v>7</v>
      </c>
      <c r="B7" s="575"/>
      <c r="C7" s="575"/>
    </row>
    <row r="8" spans="1:3" ht="15">
      <c r="A8" s="576" t="s">
        <v>679</v>
      </c>
      <c r="B8" s="576"/>
      <c r="C8" s="576"/>
    </row>
    <row r="9" spans="1:3" ht="14.25">
      <c r="A9" s="532" t="s">
        <v>680</v>
      </c>
      <c r="B9" s="532" t="s">
        <v>681</v>
      </c>
      <c r="C9" s="532" t="s">
        <v>682</v>
      </c>
    </row>
    <row r="10" spans="1:3" ht="13.5" customHeight="1">
      <c r="A10" s="577" t="s">
        <v>683</v>
      </c>
      <c r="B10" s="578"/>
      <c r="C10" s="532"/>
    </row>
    <row r="11" spans="1:3" ht="45" customHeight="1">
      <c r="A11" s="533" t="s">
        <v>684</v>
      </c>
      <c r="B11" s="533" t="s">
        <v>685</v>
      </c>
      <c r="C11" s="534">
        <f>C16+C12</f>
        <v>23871.70000000001</v>
      </c>
    </row>
    <row r="12" spans="1:3" ht="45" customHeight="1">
      <c r="A12" s="533" t="s">
        <v>686</v>
      </c>
      <c r="B12" s="533" t="s">
        <v>687</v>
      </c>
      <c r="C12" s="535">
        <f>C13</f>
        <v>-123716.29999999999</v>
      </c>
    </row>
    <row r="13" spans="1:3" ht="45" customHeight="1">
      <c r="A13" s="536" t="s">
        <v>688</v>
      </c>
      <c r="B13" s="536" t="s">
        <v>689</v>
      </c>
      <c r="C13" s="537">
        <f>C14</f>
        <v>-123716.29999999999</v>
      </c>
    </row>
    <row r="14" spans="1:3" ht="45" customHeight="1">
      <c r="A14" s="536" t="s">
        <v>690</v>
      </c>
      <c r="B14" s="536" t="s">
        <v>691</v>
      </c>
      <c r="C14" s="537">
        <f>C15</f>
        <v>-123716.29999999999</v>
      </c>
    </row>
    <row r="15" spans="1:3" ht="58.5" customHeight="1">
      <c r="A15" s="536" t="s">
        <v>692</v>
      </c>
      <c r="B15" s="536" t="s">
        <v>693</v>
      </c>
      <c r="C15" s="537">
        <f>-Доходы!$J$46</f>
        <v>-123716.29999999999</v>
      </c>
    </row>
    <row r="16" spans="1:3" ht="45" customHeight="1">
      <c r="A16" s="533" t="s">
        <v>694</v>
      </c>
      <c r="B16" s="533" t="s">
        <v>695</v>
      </c>
      <c r="C16" s="535">
        <f>C17</f>
        <v>147588</v>
      </c>
    </row>
    <row r="17" spans="1:3" ht="45" customHeight="1">
      <c r="A17" s="536" t="s">
        <v>696</v>
      </c>
      <c r="B17" s="536" t="s">
        <v>697</v>
      </c>
      <c r="C17" s="537">
        <f>C18</f>
        <v>147588</v>
      </c>
    </row>
    <row r="18" spans="1:3" ht="45" customHeight="1">
      <c r="A18" s="536" t="s">
        <v>698</v>
      </c>
      <c r="B18" s="536" t="s">
        <v>699</v>
      </c>
      <c r="C18" s="537">
        <f>C19</f>
        <v>147588</v>
      </c>
    </row>
    <row r="19" spans="1:3" ht="63.75" customHeight="1">
      <c r="A19" s="536" t="s">
        <v>700</v>
      </c>
      <c r="B19" s="536" t="s">
        <v>701</v>
      </c>
      <c r="C19" s="537">
        <f>'Функц.2020 (прил 3) '!$L$225</f>
        <v>147588</v>
      </c>
    </row>
    <row r="20" spans="1:3" ht="13.5" customHeight="1">
      <c r="A20" s="573" t="s">
        <v>702</v>
      </c>
      <c r="B20" s="574"/>
      <c r="C20" s="535">
        <f>C16+C12</f>
        <v>23871.70000000001</v>
      </c>
    </row>
    <row r="21" spans="1:3" ht="13.5" customHeight="1">
      <c r="A21" s="573" t="s">
        <v>703</v>
      </c>
      <c r="B21" s="574"/>
      <c r="C21" s="535">
        <f>C20</f>
        <v>23871.70000000001</v>
      </c>
    </row>
  </sheetData>
  <sheetProtection/>
  <mergeCells count="8">
    <mergeCell ref="A20:B20"/>
    <mergeCell ref="A21:B21"/>
    <mergeCell ref="B4:C4"/>
    <mergeCell ref="A5:C5"/>
    <mergeCell ref="A6:C6"/>
    <mergeCell ref="A7:C7"/>
    <mergeCell ref="A8:C8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7.00390625" style="0" customWidth="1"/>
    <col min="2" max="2" width="27.28125" style="0" customWidth="1"/>
    <col min="3" max="3" width="42.421875" style="0" customWidth="1"/>
  </cols>
  <sheetData>
    <row r="1" spans="1:3" ht="15.75">
      <c r="A1" s="583"/>
      <c r="B1" s="583"/>
      <c r="C1" s="583"/>
    </row>
    <row r="2" spans="3:4" ht="15.75">
      <c r="C2" s="538" t="s">
        <v>704</v>
      </c>
      <c r="D2" s="539"/>
    </row>
    <row r="3" spans="1:4" ht="25.5" customHeight="1">
      <c r="A3" s="530"/>
      <c r="B3" s="530"/>
      <c r="C3" s="352" t="s">
        <v>705</v>
      </c>
      <c r="D3" s="530"/>
    </row>
    <row r="4" spans="1:4" ht="12.75" customHeight="1">
      <c r="A4" s="530"/>
      <c r="B4" s="530"/>
      <c r="C4" s="370"/>
      <c r="D4" s="540"/>
    </row>
    <row r="5" spans="1:4" ht="25.5" customHeight="1">
      <c r="A5" s="541"/>
      <c r="B5" s="541"/>
      <c r="C5" s="531"/>
      <c r="D5" s="542"/>
    </row>
    <row r="6" spans="1:4" ht="25.5" customHeight="1">
      <c r="A6" s="543"/>
      <c r="B6" s="543"/>
      <c r="C6" s="543"/>
      <c r="D6" s="543"/>
    </row>
    <row r="7" spans="1:4" ht="15.75">
      <c r="A7" s="575" t="s">
        <v>706</v>
      </c>
      <c r="B7" s="575"/>
      <c r="C7" s="575"/>
      <c r="D7" s="539"/>
    </row>
    <row r="8" spans="1:7" ht="15.75">
      <c r="A8" s="575" t="s">
        <v>707</v>
      </c>
      <c r="B8" s="575"/>
      <c r="C8" s="575"/>
      <c r="D8" s="539"/>
      <c r="G8" s="516"/>
    </row>
    <row r="9" spans="1:4" ht="15.75">
      <c r="A9" s="575" t="s">
        <v>678</v>
      </c>
      <c r="B9" s="575"/>
      <c r="C9" s="575"/>
      <c r="D9" s="539"/>
    </row>
    <row r="10" spans="1:4" ht="15.75">
      <c r="A10" s="575" t="s">
        <v>7</v>
      </c>
      <c r="B10" s="575"/>
      <c r="C10" s="575"/>
      <c r="D10" s="539"/>
    </row>
    <row r="11" spans="1:4" ht="15">
      <c r="A11" s="584"/>
      <c r="B11" s="584"/>
      <c r="C11" s="584"/>
      <c r="D11" s="584"/>
    </row>
    <row r="12" spans="1:6" ht="57" customHeight="1">
      <c r="A12" s="582" t="s">
        <v>708</v>
      </c>
      <c r="B12" s="582"/>
      <c r="C12" s="582" t="s">
        <v>681</v>
      </c>
      <c r="D12" s="545"/>
      <c r="F12" s="2"/>
    </row>
    <row r="13" spans="1:4" ht="62.25" customHeight="1">
      <c r="A13" s="544" t="s">
        <v>709</v>
      </c>
      <c r="B13" s="544" t="s">
        <v>710</v>
      </c>
      <c r="C13" s="582"/>
      <c r="D13" s="545"/>
    </row>
    <row r="14" spans="1:4" ht="15.75">
      <c r="A14" s="544">
        <v>1</v>
      </c>
      <c r="B14" s="544">
        <v>2</v>
      </c>
      <c r="C14" s="546">
        <v>3</v>
      </c>
      <c r="D14" s="545"/>
    </row>
    <row r="15" spans="1:4" ht="44.25" customHeight="1">
      <c r="A15" s="581">
        <v>993</v>
      </c>
      <c r="B15" s="581" t="s">
        <v>711</v>
      </c>
      <c r="C15" s="579" t="s">
        <v>712</v>
      </c>
      <c r="D15" s="580"/>
    </row>
    <row r="16" spans="1:4" ht="37.5" customHeight="1">
      <c r="A16" s="581"/>
      <c r="B16" s="581"/>
      <c r="C16" s="579"/>
      <c r="D16" s="580"/>
    </row>
    <row r="17" spans="1:4" ht="69.75" customHeight="1">
      <c r="A17" s="581">
        <v>993</v>
      </c>
      <c r="B17" s="581" t="s">
        <v>713</v>
      </c>
      <c r="C17" s="579" t="s">
        <v>714</v>
      </c>
      <c r="D17" s="580"/>
    </row>
    <row r="18" spans="1:4" ht="37.5" customHeight="1">
      <c r="A18" s="581"/>
      <c r="B18" s="581"/>
      <c r="C18" s="579"/>
      <c r="D18" s="580"/>
    </row>
    <row r="19" ht="15">
      <c r="A19" s="547"/>
    </row>
  </sheetData>
  <sheetProtection/>
  <mergeCells count="16">
    <mergeCell ref="A12:B12"/>
    <mergeCell ref="C12:C13"/>
    <mergeCell ref="A7:C7"/>
    <mergeCell ref="A8:C8"/>
    <mergeCell ref="A1:C1"/>
    <mergeCell ref="A9:C9"/>
    <mergeCell ref="A10:C10"/>
    <mergeCell ref="A11:D11"/>
    <mergeCell ref="C15:C16"/>
    <mergeCell ref="D15:D16"/>
    <mergeCell ref="A17:A18"/>
    <mergeCell ref="B17:B18"/>
    <mergeCell ref="C17:C18"/>
    <mergeCell ref="D17:D18"/>
    <mergeCell ref="A15:A16"/>
    <mergeCell ref="B15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6">
      <selection activeCell="J16" sqref="J16"/>
    </sheetView>
  </sheetViews>
  <sheetFormatPr defaultColWidth="9.140625" defaultRowHeight="12.75"/>
  <cols>
    <col min="2" max="2" width="28.8515625" style="0" customWidth="1"/>
    <col min="3" max="3" width="66.140625" style="0" customWidth="1"/>
  </cols>
  <sheetData>
    <row r="1" spans="1:3" ht="15">
      <c r="A1" s="585"/>
      <c r="B1" s="585"/>
      <c r="C1" s="548" t="s">
        <v>715</v>
      </c>
    </row>
    <row r="2" spans="1:3" ht="15">
      <c r="A2" s="549"/>
      <c r="B2" s="550"/>
      <c r="C2" s="352" t="s">
        <v>705</v>
      </c>
    </row>
    <row r="3" spans="1:3" ht="11.25" customHeight="1">
      <c r="A3" s="551"/>
      <c r="B3" s="551"/>
      <c r="C3" s="327"/>
    </row>
    <row r="4" spans="1:3" ht="24" customHeight="1">
      <c r="A4" s="586" t="s">
        <v>716</v>
      </c>
      <c r="B4" s="586"/>
      <c r="C4" s="586"/>
    </row>
    <row r="5" spans="1:3" ht="14.25">
      <c r="A5" s="552" t="s">
        <v>717</v>
      </c>
      <c r="B5" s="552" t="s">
        <v>718</v>
      </c>
      <c r="C5" s="552" t="s">
        <v>719</v>
      </c>
    </row>
    <row r="6" spans="1:3" ht="25.5">
      <c r="A6" s="857">
        <v>1</v>
      </c>
      <c r="B6" s="596" t="s">
        <v>187</v>
      </c>
      <c r="C6" s="466" t="s">
        <v>146</v>
      </c>
    </row>
    <row r="7" spans="1:3" ht="25.5">
      <c r="A7" s="857">
        <v>2</v>
      </c>
      <c r="B7" s="596" t="s">
        <v>190</v>
      </c>
      <c r="C7" s="466" t="s">
        <v>147</v>
      </c>
    </row>
    <row r="8" spans="1:3" ht="38.25">
      <c r="A8" s="857">
        <v>3</v>
      </c>
      <c r="B8" s="596" t="s">
        <v>191</v>
      </c>
      <c r="C8" s="466" t="s">
        <v>192</v>
      </c>
    </row>
    <row r="9" spans="1:3" ht="25.5">
      <c r="A9" s="857">
        <v>4</v>
      </c>
      <c r="B9" s="596" t="s">
        <v>229</v>
      </c>
      <c r="C9" s="466" t="s">
        <v>454</v>
      </c>
    </row>
    <row r="10" spans="1:3" ht="20.25" customHeight="1">
      <c r="A10" s="857">
        <v>5</v>
      </c>
      <c r="B10" s="596" t="s">
        <v>193</v>
      </c>
      <c r="C10" s="466" t="s">
        <v>455</v>
      </c>
    </row>
    <row r="11" spans="1:3" ht="25.5">
      <c r="A11" s="857">
        <v>6</v>
      </c>
      <c r="B11" s="596" t="s">
        <v>333</v>
      </c>
      <c r="C11" s="466" t="s">
        <v>334</v>
      </c>
    </row>
    <row r="12" spans="1:3" ht="38.25">
      <c r="A12" s="857">
        <v>7</v>
      </c>
      <c r="B12" s="604" t="s">
        <v>222</v>
      </c>
      <c r="C12" s="466" t="s">
        <v>71</v>
      </c>
    </row>
    <row r="13" spans="1:3" ht="38.25">
      <c r="A13" s="857">
        <v>8</v>
      </c>
      <c r="B13" s="596" t="s">
        <v>720</v>
      </c>
      <c r="C13" s="466" t="s">
        <v>469</v>
      </c>
    </row>
    <row r="14" spans="1:3" ht="38.25">
      <c r="A14" s="857">
        <v>9</v>
      </c>
      <c r="B14" s="596" t="s">
        <v>474</v>
      </c>
      <c r="C14" s="466" t="s">
        <v>469</v>
      </c>
    </row>
    <row r="15" spans="1:3" ht="51" hidden="1">
      <c r="A15" s="857">
        <v>10</v>
      </c>
      <c r="B15" s="604" t="s">
        <v>464</v>
      </c>
      <c r="C15" s="465" t="s">
        <v>153</v>
      </c>
    </row>
    <row r="16" spans="1:3" ht="63" customHeight="1">
      <c r="A16" s="857">
        <v>10</v>
      </c>
      <c r="B16" s="858" t="s">
        <v>264</v>
      </c>
      <c r="C16" s="553" t="s">
        <v>721</v>
      </c>
    </row>
    <row r="17" spans="1:3" ht="33.75" customHeight="1">
      <c r="A17" s="857">
        <v>11</v>
      </c>
      <c r="B17" s="858" t="s">
        <v>722</v>
      </c>
      <c r="C17" s="553" t="s">
        <v>723</v>
      </c>
    </row>
    <row r="18" spans="1:3" ht="33" customHeight="1">
      <c r="A18" s="857">
        <v>12</v>
      </c>
      <c r="B18" s="858" t="s">
        <v>724</v>
      </c>
      <c r="C18" s="553" t="s">
        <v>725</v>
      </c>
    </row>
    <row r="19" spans="1:3" ht="23.25" customHeight="1">
      <c r="A19" s="857">
        <v>13</v>
      </c>
      <c r="B19" s="858" t="s">
        <v>8</v>
      </c>
      <c r="C19" s="553" t="s">
        <v>726</v>
      </c>
    </row>
    <row r="20" spans="1:3" ht="45" customHeight="1">
      <c r="A20" s="857">
        <v>14</v>
      </c>
      <c r="B20" s="859" t="s">
        <v>479</v>
      </c>
      <c r="C20" s="553" t="s">
        <v>727</v>
      </c>
    </row>
    <row r="21" spans="1:3" ht="35.25" customHeight="1" hidden="1">
      <c r="A21" s="857">
        <v>16</v>
      </c>
      <c r="B21" s="858" t="s">
        <v>728</v>
      </c>
      <c r="C21" s="553" t="s">
        <v>0</v>
      </c>
    </row>
    <row r="22" spans="1:3" ht="60">
      <c r="A22" s="857">
        <v>15</v>
      </c>
      <c r="B22" s="860" t="s">
        <v>1</v>
      </c>
      <c r="C22" s="553" t="s">
        <v>267</v>
      </c>
    </row>
    <row r="23" spans="1:3" ht="90">
      <c r="A23" s="857">
        <v>16</v>
      </c>
      <c r="B23" s="861" t="s">
        <v>490</v>
      </c>
      <c r="C23" s="553" t="s">
        <v>269</v>
      </c>
    </row>
    <row r="24" spans="1:3" ht="46.5" customHeight="1">
      <c r="A24" s="857">
        <v>17</v>
      </c>
      <c r="B24" s="861" t="s">
        <v>492</v>
      </c>
      <c r="C24" s="553" t="s">
        <v>271</v>
      </c>
    </row>
    <row r="25" spans="1:3" ht="47.25" customHeight="1">
      <c r="A25" s="857">
        <v>18</v>
      </c>
      <c r="B25" s="859" t="s">
        <v>2</v>
      </c>
      <c r="C25" s="553" t="s">
        <v>3</v>
      </c>
    </row>
    <row r="26" spans="1:3" ht="107.25" customHeight="1">
      <c r="A26" s="857">
        <v>19</v>
      </c>
      <c r="B26" s="860" t="s">
        <v>4</v>
      </c>
      <c r="C26" s="553" t="s">
        <v>5</v>
      </c>
    </row>
  </sheetData>
  <sheetProtection/>
  <mergeCells count="2">
    <mergeCell ref="A1:B1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Шманцарь</dc:creator>
  <cp:keywords/>
  <dc:description/>
  <cp:lastModifiedBy>Глава</cp:lastModifiedBy>
  <cp:lastPrinted>2020-11-16T08:57:27Z</cp:lastPrinted>
  <dcterms:created xsi:type="dcterms:W3CDTF">1999-12-27T10:35:15Z</dcterms:created>
  <dcterms:modified xsi:type="dcterms:W3CDTF">2020-11-16T09:03:46Z</dcterms:modified>
  <cp:category/>
  <cp:version/>
  <cp:contentType/>
  <cp:contentStatus/>
</cp:coreProperties>
</file>