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20" yWindow="-360" windowWidth="11205" windowHeight="10920" tabRatio="865" firstSheet="2" activeTab="6"/>
  </bookViews>
  <sheets>
    <sheet name="1Р." sheetId="59" state="hidden" r:id="rId1"/>
    <sheet name="доходы 2016" sheetId="75" state="hidden" r:id="rId2"/>
    <sheet name="доходы 2019" sheetId="118" r:id="rId3"/>
    <sheet name="Прилож 2" sheetId="114" r:id="rId4"/>
    <sheet name="Функц.2019 (прил 3) " sheetId="113" r:id="rId5"/>
    <sheet name="Вед. 2019 (прил 4)" sheetId="110" r:id="rId6"/>
    <sheet name="приложение 5" sheetId="121" r:id="rId7"/>
  </sheets>
  <externalReferences>
    <externalReference r:id="rId8"/>
    <externalReference r:id="rId9"/>
    <externalReference r:id="rId10"/>
  </externalReferences>
  <definedNames>
    <definedName name="_xlnm.Print_Titles" localSheetId="1">'доходы 2016'!$8:$8</definedName>
    <definedName name="_xlnm.Print_Titles" localSheetId="2">'доходы 2019'!$8:$8</definedName>
    <definedName name="_xlnm.Print_Area" localSheetId="0">'1Р.'!$A$1:$H$65</definedName>
  </definedNames>
  <calcPr calcId="125725" refMode="R1C1"/>
</workbook>
</file>

<file path=xl/calcChain.xml><?xml version="1.0" encoding="utf-8"?>
<calcChain xmlns="http://schemas.openxmlformats.org/spreadsheetml/2006/main">
  <c r="J16" i="118"/>
  <c r="L50" i="113"/>
  <c r="G35" i="110"/>
  <c r="J13" i="114" s="1"/>
  <c r="J20" i="118"/>
  <c r="G204" i="110" l="1"/>
  <c r="G203"/>
  <c r="G200"/>
  <c r="G199" s="1"/>
  <c r="G194"/>
  <c r="G193"/>
  <c r="G192" s="1"/>
  <c r="G191"/>
  <c r="G190" s="1"/>
  <c r="G187"/>
  <c r="G186" s="1"/>
  <c r="G184"/>
  <c r="G183" s="1"/>
  <c r="G180"/>
  <c r="G179" s="1"/>
  <c r="G175"/>
  <c r="G174" s="1"/>
  <c r="G172"/>
  <c r="G171" s="1"/>
  <c r="G167"/>
  <c r="G166"/>
  <c r="G165" s="1"/>
  <c r="G162"/>
  <c r="G161" s="1"/>
  <c r="G159"/>
  <c r="G158"/>
  <c r="G157"/>
  <c r="G156" s="1"/>
  <c r="G154"/>
  <c r="G153" s="1"/>
  <c r="G149"/>
  <c r="G148"/>
  <c r="G146"/>
  <c r="G145"/>
  <c r="G143"/>
  <c r="G142"/>
  <c r="G141" s="1"/>
  <c r="G140"/>
  <c r="G139" s="1"/>
  <c r="G138" s="1"/>
  <c r="G137"/>
  <c r="G136" s="1"/>
  <c r="G135" s="1"/>
  <c r="G134"/>
  <c r="G133" s="1"/>
  <c r="G132" s="1"/>
  <c r="G130"/>
  <c r="G129" s="1"/>
  <c r="G128" s="1"/>
  <c r="G127"/>
  <c r="G126" s="1"/>
  <c r="G124"/>
  <c r="G123" s="1"/>
  <c r="G122" s="1"/>
  <c r="G117"/>
  <c r="G116" s="1"/>
  <c r="G115" s="1"/>
  <c r="G114"/>
  <c r="G113" s="1"/>
  <c r="G109"/>
  <c r="G108" s="1"/>
  <c r="G106"/>
  <c r="G105" s="1"/>
  <c r="G101"/>
  <c r="G100" s="1"/>
  <c r="G98"/>
  <c r="G97" s="1"/>
  <c r="G93"/>
  <c r="G92" s="1"/>
  <c r="G90"/>
  <c r="G89" s="1"/>
  <c r="G87"/>
  <c r="G86"/>
  <c r="G84"/>
  <c r="G83"/>
  <c r="G81"/>
  <c r="G80"/>
  <c r="G78"/>
  <c r="G77" s="1"/>
  <c r="G75"/>
  <c r="G74"/>
  <c r="G73"/>
  <c r="G72" s="1"/>
  <c r="G70"/>
  <c r="G69" s="1"/>
  <c r="G66"/>
  <c r="G65"/>
  <c r="G62"/>
  <c r="G61"/>
  <c r="G60" s="1"/>
  <c r="G58"/>
  <c r="G57"/>
  <c r="G56" s="1"/>
  <c r="G52"/>
  <c r="G51" s="1"/>
  <c r="G50"/>
  <c r="G48" s="1"/>
  <c r="G47"/>
  <c r="G46" s="1"/>
  <c r="G45"/>
  <c r="G44" s="1"/>
  <c r="G43" s="1"/>
  <c r="G42"/>
  <c r="G41" s="1"/>
  <c r="G34"/>
  <c r="G33" s="1"/>
  <c r="G32" s="1"/>
  <c r="G29"/>
  <c r="G28"/>
  <c r="G27" s="1"/>
  <c r="G26"/>
  <c r="G25" s="1"/>
  <c r="G24" s="1"/>
  <c r="G22"/>
  <c r="G20"/>
  <c r="G19"/>
  <c r="G18" s="1"/>
  <c r="G13"/>
  <c r="G12" s="1"/>
  <c r="G11" s="1"/>
  <c r="K198" i="113"/>
  <c r="J198"/>
  <c r="I198"/>
  <c r="L197"/>
  <c r="L196" s="1"/>
  <c r="K195"/>
  <c r="J195"/>
  <c r="J194" s="1"/>
  <c r="J193" s="1"/>
  <c r="I195"/>
  <c r="K194"/>
  <c r="K193" s="1"/>
  <c r="I194"/>
  <c r="I193" s="1"/>
  <c r="L192"/>
  <c r="I192"/>
  <c r="L191"/>
  <c r="I191"/>
  <c r="L190"/>
  <c r="K190"/>
  <c r="J190"/>
  <c r="I190"/>
  <c r="L189"/>
  <c r="K189"/>
  <c r="J189"/>
  <c r="I189"/>
  <c r="L188"/>
  <c r="K188"/>
  <c r="J188"/>
  <c r="I188"/>
  <c r="L187"/>
  <c r="L186" s="1"/>
  <c r="K185"/>
  <c r="J185"/>
  <c r="I185"/>
  <c r="K184"/>
  <c r="K176" s="1"/>
  <c r="J184"/>
  <c r="I184"/>
  <c r="L183"/>
  <c r="L182" s="1"/>
  <c r="K181"/>
  <c r="J181"/>
  <c r="J177" s="1"/>
  <c r="I181"/>
  <c r="I177" s="1"/>
  <c r="I176" s="1"/>
  <c r="L180"/>
  <c r="L179" s="1"/>
  <c r="L178" s="1"/>
  <c r="K177"/>
  <c r="L175"/>
  <c r="I175"/>
  <c r="I172" s="1"/>
  <c r="L174"/>
  <c r="I174"/>
  <c r="L173"/>
  <c r="L172" s="1"/>
  <c r="K172"/>
  <c r="J172"/>
  <c r="J168" s="1"/>
  <c r="J167" s="1"/>
  <c r="L171"/>
  <c r="I171"/>
  <c r="L170"/>
  <c r="I170"/>
  <c r="L169"/>
  <c r="K169"/>
  <c r="J169"/>
  <c r="I169"/>
  <c r="L168"/>
  <c r="K168"/>
  <c r="K167"/>
  <c r="L166"/>
  <c r="L165" s="1"/>
  <c r="K164"/>
  <c r="J164"/>
  <c r="J160" s="1"/>
  <c r="I164"/>
  <c r="I160" s="1"/>
  <c r="L163"/>
  <c r="L162" s="1"/>
  <c r="L161" s="1"/>
  <c r="K160"/>
  <c r="K157" s="1"/>
  <c r="H160"/>
  <c r="G160"/>
  <c r="G155" s="1"/>
  <c r="F160"/>
  <c r="L159"/>
  <c r="H159"/>
  <c r="G159"/>
  <c r="F159"/>
  <c r="L158"/>
  <c r="H158"/>
  <c r="G158"/>
  <c r="F158"/>
  <c r="L157"/>
  <c r="L156" s="1"/>
  <c r="F157"/>
  <c r="K156"/>
  <c r="H156"/>
  <c r="G156"/>
  <c r="F156"/>
  <c r="H155"/>
  <c r="F155"/>
  <c r="L154"/>
  <c r="L153" s="1"/>
  <c r="L152" s="1"/>
  <c r="L151"/>
  <c r="H151"/>
  <c r="G151"/>
  <c r="F151"/>
  <c r="L150"/>
  <c r="H150"/>
  <c r="G150"/>
  <c r="F150"/>
  <c r="L149"/>
  <c r="K149"/>
  <c r="J149"/>
  <c r="I149"/>
  <c r="L148"/>
  <c r="H148"/>
  <c r="G148"/>
  <c r="F148"/>
  <c r="L147"/>
  <c r="H147"/>
  <c r="G147"/>
  <c r="F147"/>
  <c r="L146"/>
  <c r="K146"/>
  <c r="J146"/>
  <c r="H146"/>
  <c r="H145" s="1"/>
  <c r="H144" s="1"/>
  <c r="G146"/>
  <c r="G145" s="1"/>
  <c r="G144" s="1"/>
  <c r="F146"/>
  <c r="L145"/>
  <c r="L144" s="1"/>
  <c r="I145"/>
  <c r="F145"/>
  <c r="F144" s="1"/>
  <c r="I144"/>
  <c r="K143"/>
  <c r="J143"/>
  <c r="J142" s="1"/>
  <c r="I143"/>
  <c r="I142" s="1"/>
  <c r="F143"/>
  <c r="F142" s="1"/>
  <c r="K142"/>
  <c r="H142"/>
  <c r="G142"/>
  <c r="L141"/>
  <c r="L140" s="1"/>
  <c r="K139"/>
  <c r="J139"/>
  <c r="I139"/>
  <c r="L138"/>
  <c r="L137" s="1"/>
  <c r="K136"/>
  <c r="J136"/>
  <c r="I136"/>
  <c r="L135"/>
  <c r="F135"/>
  <c r="L134"/>
  <c r="F134"/>
  <c r="L133"/>
  <c r="K133"/>
  <c r="J133"/>
  <c r="J132" s="1"/>
  <c r="I133"/>
  <c r="I132" s="1"/>
  <c r="H133"/>
  <c r="H132" s="1"/>
  <c r="H126" s="1"/>
  <c r="G133"/>
  <c r="F133"/>
  <c r="K132"/>
  <c r="G132"/>
  <c r="G126" s="1"/>
  <c r="L131"/>
  <c r="L130" s="1"/>
  <c r="L129"/>
  <c r="K129"/>
  <c r="J129"/>
  <c r="I129"/>
  <c r="L128"/>
  <c r="H128"/>
  <c r="G128"/>
  <c r="F128"/>
  <c r="L127"/>
  <c r="H127"/>
  <c r="G127"/>
  <c r="F127"/>
  <c r="L126"/>
  <c r="K126"/>
  <c r="J126"/>
  <c r="I126"/>
  <c r="L125"/>
  <c r="F125"/>
  <c r="F123" s="1"/>
  <c r="F122" s="1"/>
  <c r="L124"/>
  <c r="F124"/>
  <c r="L123"/>
  <c r="K123"/>
  <c r="K122" s="1"/>
  <c r="K110" s="1"/>
  <c r="K107" s="1"/>
  <c r="K106" s="1"/>
  <c r="J123"/>
  <c r="I123"/>
  <c r="I122" s="1"/>
  <c r="H123"/>
  <c r="G123"/>
  <c r="G122" s="1"/>
  <c r="L122"/>
  <c r="J122"/>
  <c r="H122"/>
  <c r="L121"/>
  <c r="L120" s="1"/>
  <c r="L119" s="1"/>
  <c r="L118"/>
  <c r="L117" s="1"/>
  <c r="L116" s="1"/>
  <c r="L115"/>
  <c r="H115"/>
  <c r="G115"/>
  <c r="F115"/>
  <c r="L114"/>
  <c r="H114"/>
  <c r="G114"/>
  <c r="F114"/>
  <c r="L113"/>
  <c r="K113"/>
  <c r="K112" s="1"/>
  <c r="J113"/>
  <c r="I113"/>
  <c r="I112" s="1"/>
  <c r="F113"/>
  <c r="J112"/>
  <c r="H112"/>
  <c r="G112"/>
  <c r="F112"/>
  <c r="H110"/>
  <c r="G110"/>
  <c r="F110"/>
  <c r="L109"/>
  <c r="L108" s="1"/>
  <c r="L107" s="1"/>
  <c r="L106" s="1"/>
  <c r="I109"/>
  <c r="F109"/>
  <c r="I108"/>
  <c r="F108"/>
  <c r="H107"/>
  <c r="G107"/>
  <c r="F107"/>
  <c r="F106"/>
  <c r="L105"/>
  <c r="L104" s="1"/>
  <c r="I105"/>
  <c r="F105"/>
  <c r="F103" s="1"/>
  <c r="I104"/>
  <c r="F104"/>
  <c r="K103"/>
  <c r="K102" s="1"/>
  <c r="J103"/>
  <c r="I103"/>
  <c r="I102" s="1"/>
  <c r="H103"/>
  <c r="G103"/>
  <c r="J102"/>
  <c r="F102"/>
  <c r="F93" s="1"/>
  <c r="L101"/>
  <c r="L100" s="1"/>
  <c r="L99" s="1"/>
  <c r="I101"/>
  <c r="F101"/>
  <c r="F99" s="1"/>
  <c r="I100"/>
  <c r="F100"/>
  <c r="K99"/>
  <c r="K95" s="1"/>
  <c r="J99"/>
  <c r="I99"/>
  <c r="I95" s="1"/>
  <c r="H99"/>
  <c r="G99"/>
  <c r="L98"/>
  <c r="L97" s="1"/>
  <c r="L96" s="1"/>
  <c r="J95"/>
  <c r="F95"/>
  <c r="L93"/>
  <c r="L92" s="1"/>
  <c r="L91" s="1"/>
  <c r="H93"/>
  <c r="H90" s="1"/>
  <c r="G93"/>
  <c r="G90" s="1"/>
  <c r="H92"/>
  <c r="G92"/>
  <c r="F92"/>
  <c r="K91"/>
  <c r="J91"/>
  <c r="I91"/>
  <c r="F91"/>
  <c r="L90"/>
  <c r="L89"/>
  <c r="L88"/>
  <c r="K88"/>
  <c r="J88"/>
  <c r="J87" s="1"/>
  <c r="J86" s="1"/>
  <c r="I88"/>
  <c r="I87" s="1"/>
  <c r="I86" s="1"/>
  <c r="F88"/>
  <c r="K87"/>
  <c r="K86" s="1"/>
  <c r="H87"/>
  <c r="H86" s="1"/>
  <c r="G87"/>
  <c r="G86" s="1"/>
  <c r="F87"/>
  <c r="L85"/>
  <c r="L84" s="1"/>
  <c r="L83" s="1"/>
  <c r="K85"/>
  <c r="K84" s="1"/>
  <c r="K38" s="1"/>
  <c r="J85"/>
  <c r="I85"/>
  <c r="I84" s="1"/>
  <c r="F85"/>
  <c r="J84"/>
  <c r="F84"/>
  <c r="J83"/>
  <c r="I83"/>
  <c r="L82"/>
  <c r="L81" s="1"/>
  <c r="L80" s="1"/>
  <c r="L79"/>
  <c r="L78" s="1"/>
  <c r="K77"/>
  <c r="J77"/>
  <c r="I77"/>
  <c r="H77"/>
  <c r="G77"/>
  <c r="F77"/>
  <c r="L76"/>
  <c r="L75" s="1"/>
  <c r="K74"/>
  <c r="J74"/>
  <c r="I74"/>
  <c r="H74"/>
  <c r="H61" s="1"/>
  <c r="F74"/>
  <c r="F61" s="1"/>
  <c r="L73"/>
  <c r="L72" s="1"/>
  <c r="K71"/>
  <c r="J71"/>
  <c r="I71"/>
  <c r="L70"/>
  <c r="L69" s="1"/>
  <c r="L68" s="1"/>
  <c r="L67"/>
  <c r="L66" s="1"/>
  <c r="K65"/>
  <c r="J65"/>
  <c r="I65"/>
  <c r="H65"/>
  <c r="G65"/>
  <c r="F65"/>
  <c r="L64"/>
  <c r="L63" s="1"/>
  <c r="K62"/>
  <c r="J62"/>
  <c r="J55" s="1"/>
  <c r="I62"/>
  <c r="L61"/>
  <c r="L60" s="1"/>
  <c r="K59"/>
  <c r="J59"/>
  <c r="I59"/>
  <c r="L58"/>
  <c r="L57" s="1"/>
  <c r="K56"/>
  <c r="J56"/>
  <c r="I56"/>
  <c r="H56"/>
  <c r="H64" s="1"/>
  <c r="G56"/>
  <c r="G64" s="1"/>
  <c r="F56"/>
  <c r="F64" s="1"/>
  <c r="L54"/>
  <c r="H54"/>
  <c r="G54"/>
  <c r="F54"/>
  <c r="L53"/>
  <c r="H53"/>
  <c r="G53"/>
  <c r="F53"/>
  <c r="L52"/>
  <c r="K52"/>
  <c r="J52"/>
  <c r="I52"/>
  <c r="L51"/>
  <c r="K51"/>
  <c r="J51"/>
  <c r="I51"/>
  <c r="H51"/>
  <c r="G51"/>
  <c r="F51"/>
  <c r="L49"/>
  <c r="L48" s="1"/>
  <c r="L47"/>
  <c r="L46" s="1"/>
  <c r="L45"/>
  <c r="L44" s="1"/>
  <c r="K42"/>
  <c r="J42"/>
  <c r="I42"/>
  <c r="L41"/>
  <c r="L40" s="1"/>
  <c r="L39" s="1"/>
  <c r="L38"/>
  <c r="J38"/>
  <c r="F38"/>
  <c r="L37"/>
  <c r="L36"/>
  <c r="L35"/>
  <c r="K35"/>
  <c r="K34" s="1"/>
  <c r="J35"/>
  <c r="I35"/>
  <c r="I34" s="1"/>
  <c r="F35"/>
  <c r="F33" s="1"/>
  <c r="F32" s="1"/>
  <c r="L34"/>
  <c r="J34"/>
  <c r="F34"/>
  <c r="L33"/>
  <c r="H33"/>
  <c r="H32" s="1"/>
  <c r="G33"/>
  <c r="L32"/>
  <c r="G32"/>
  <c r="K31"/>
  <c r="K26" s="1"/>
  <c r="J31"/>
  <c r="I31"/>
  <c r="I26" s="1"/>
  <c r="F31"/>
  <c r="L30"/>
  <c r="H30"/>
  <c r="G30"/>
  <c r="F30"/>
  <c r="L29"/>
  <c r="H29"/>
  <c r="G29"/>
  <c r="F29"/>
  <c r="L28"/>
  <c r="K28"/>
  <c r="J28"/>
  <c r="J26" s="1"/>
  <c r="I28"/>
  <c r="K27"/>
  <c r="J27"/>
  <c r="I27"/>
  <c r="H26"/>
  <c r="G26"/>
  <c r="F26"/>
  <c r="L25"/>
  <c r="F25"/>
  <c r="L24"/>
  <c r="F24"/>
  <c r="L23"/>
  <c r="K23"/>
  <c r="J23"/>
  <c r="I23"/>
  <c r="H23"/>
  <c r="G23"/>
  <c r="G14" s="1"/>
  <c r="F23"/>
  <c r="F14" s="1"/>
  <c r="L22"/>
  <c r="L21" s="1"/>
  <c r="L20"/>
  <c r="L19" s="1"/>
  <c r="L18"/>
  <c r="L17" s="1"/>
  <c r="K16"/>
  <c r="K14" s="1"/>
  <c r="J16"/>
  <c r="I16"/>
  <c r="K15"/>
  <c r="J15"/>
  <c r="I15"/>
  <c r="H15"/>
  <c r="G15"/>
  <c r="F15"/>
  <c r="H14"/>
  <c r="L13"/>
  <c r="F13"/>
  <c r="F11" s="1"/>
  <c r="L12"/>
  <c r="F12"/>
  <c r="L11"/>
  <c r="L10" s="1"/>
  <c r="K11"/>
  <c r="J11"/>
  <c r="I11"/>
  <c r="H11"/>
  <c r="G11"/>
  <c r="J9"/>
  <c r="I37" i="114"/>
  <c r="H37"/>
  <c r="G37"/>
  <c r="J36"/>
  <c r="I36"/>
  <c r="H36"/>
  <c r="G36"/>
  <c r="J35"/>
  <c r="I35"/>
  <c r="H35"/>
  <c r="G35"/>
  <c r="J34"/>
  <c r="I34"/>
  <c r="H34"/>
  <c r="G34"/>
  <c r="J33"/>
  <c r="I33"/>
  <c r="H33"/>
  <c r="G33"/>
  <c r="J32"/>
  <c r="I32"/>
  <c r="H32"/>
  <c r="G32"/>
  <c r="J31"/>
  <c r="I31"/>
  <c r="H31"/>
  <c r="G31"/>
  <c r="J30"/>
  <c r="I30"/>
  <c r="H30"/>
  <c r="G30"/>
  <c r="J29"/>
  <c r="I29"/>
  <c r="H29"/>
  <c r="G29"/>
  <c r="J28"/>
  <c r="I28"/>
  <c r="H28"/>
  <c r="G28"/>
  <c r="J27"/>
  <c r="I27"/>
  <c r="H27"/>
  <c r="G27"/>
  <c r="J26"/>
  <c r="J24" s="1"/>
  <c r="I26"/>
  <c r="H26"/>
  <c r="H25" s="1"/>
  <c r="G26"/>
  <c r="F26"/>
  <c r="F25" s="1"/>
  <c r="E26"/>
  <c r="D26"/>
  <c r="D25" s="1"/>
  <c r="J25"/>
  <c r="I25"/>
  <c r="G25"/>
  <c r="E25"/>
  <c r="I24"/>
  <c r="G24"/>
  <c r="E24"/>
  <c r="J23"/>
  <c r="J22" s="1"/>
  <c r="I22"/>
  <c r="H22"/>
  <c r="G22"/>
  <c r="F22"/>
  <c r="E22"/>
  <c r="D22"/>
  <c r="J21"/>
  <c r="I21"/>
  <c r="H21"/>
  <c r="G21"/>
  <c r="D21"/>
  <c r="J20"/>
  <c r="I20"/>
  <c r="H20"/>
  <c r="G20"/>
  <c r="D20"/>
  <c r="J19"/>
  <c r="J18" s="1"/>
  <c r="I19"/>
  <c r="H19"/>
  <c r="G19"/>
  <c r="D19"/>
  <c r="J17"/>
  <c r="I17"/>
  <c r="I16" s="1"/>
  <c r="H17"/>
  <c r="G17"/>
  <c r="G16" s="1"/>
  <c r="F17"/>
  <c r="E17"/>
  <c r="E16" s="1"/>
  <c r="D17"/>
  <c r="J16"/>
  <c r="H16"/>
  <c r="F16"/>
  <c r="D16"/>
  <c r="J15"/>
  <c r="I15"/>
  <c r="H15"/>
  <c r="G15"/>
  <c r="J14"/>
  <c r="I14"/>
  <c r="H14"/>
  <c r="G14"/>
  <c r="F14"/>
  <c r="E14"/>
  <c r="D14"/>
  <c r="J12"/>
  <c r="I12"/>
  <c r="H12"/>
  <c r="G12"/>
  <c r="F12"/>
  <c r="E12"/>
  <c r="D12"/>
  <c r="J11"/>
  <c r="I11"/>
  <c r="H11"/>
  <c r="G11"/>
  <c r="F11"/>
  <c r="E11"/>
  <c r="D11"/>
  <c r="J10"/>
  <c r="J9"/>
  <c r="I9"/>
  <c r="H9"/>
  <c r="G9"/>
  <c r="F9"/>
  <c r="E9"/>
  <c r="D9"/>
  <c r="I157" i="113" l="1"/>
  <c r="I156"/>
  <c r="D24" i="114"/>
  <c r="F24"/>
  <c r="H24"/>
  <c r="F9" i="113"/>
  <c r="J14"/>
  <c r="G9"/>
  <c r="I14"/>
  <c r="L56"/>
  <c r="G89"/>
  <c r="L103"/>
  <c r="L102" s="1"/>
  <c r="L164"/>
  <c r="L185"/>
  <c r="L184" s="1"/>
  <c r="G55" i="110"/>
  <c r="G54" s="1"/>
  <c r="G68"/>
  <c r="G96"/>
  <c r="G95" s="1"/>
  <c r="G112"/>
  <c r="G111" s="1"/>
  <c r="G125"/>
  <c r="G121" s="1"/>
  <c r="G152"/>
  <c r="G155"/>
  <c r="G201"/>
  <c r="G202"/>
  <c r="H9" i="113"/>
  <c r="F62"/>
  <c r="F63"/>
  <c r="H62"/>
  <c r="H63"/>
  <c r="L43"/>
  <c r="L42" s="1"/>
  <c r="I55"/>
  <c r="K55"/>
  <c r="I38"/>
  <c r="I110"/>
  <c r="I107" s="1"/>
  <c r="I106" s="1"/>
  <c r="L139"/>
  <c r="I168"/>
  <c r="I167" s="1"/>
  <c r="L181"/>
  <c r="L195"/>
  <c r="L194" s="1"/>
  <c r="L193" s="1"/>
  <c r="L16"/>
  <c r="L167"/>
  <c r="F90"/>
  <c r="F86"/>
  <c r="L74"/>
  <c r="L77"/>
  <c r="G178" i="110"/>
  <c r="G177" s="1"/>
  <c r="G182"/>
  <c r="G181" s="1"/>
  <c r="L62" i="113"/>
  <c r="L31"/>
  <c r="L59"/>
  <c r="L71"/>
  <c r="L95"/>
  <c r="L94" s="1"/>
  <c r="L136"/>
  <c r="L132" s="1"/>
  <c r="G17" i="110"/>
  <c r="G170"/>
  <c r="G189"/>
  <c r="L65" i="113"/>
  <c r="L87"/>
  <c r="L86" s="1"/>
  <c r="L143"/>
  <c r="L142" s="1"/>
  <c r="L176"/>
  <c r="G40" i="110"/>
  <c r="G39" s="1"/>
  <c r="G38" s="1"/>
  <c r="G71"/>
  <c r="G173"/>
  <c r="G185"/>
  <c r="G198"/>
  <c r="G197" s="1"/>
  <c r="G196" s="1"/>
  <c r="J37" i="114"/>
  <c r="C19" i="121" s="1"/>
  <c r="C18" s="1"/>
  <c r="C17" s="1"/>
  <c r="C16" s="1"/>
  <c r="G16" i="110"/>
  <c r="G15" s="1"/>
  <c r="G10" s="1"/>
  <c r="G9" s="1"/>
  <c r="G64"/>
  <c r="G131"/>
  <c r="G151"/>
  <c r="G104"/>
  <c r="G103" s="1"/>
  <c r="G63" i="113"/>
  <c r="G62"/>
  <c r="F60"/>
  <c r="F59"/>
  <c r="J156"/>
  <c r="J157"/>
  <c r="J155"/>
  <c r="L55"/>
  <c r="L160"/>
  <c r="L155" s="1"/>
  <c r="L177"/>
  <c r="L14"/>
  <c r="L15"/>
  <c r="L27"/>
  <c r="L26"/>
  <c r="H60"/>
  <c r="H59"/>
  <c r="L112"/>
  <c r="F132"/>
  <c r="F126" s="1"/>
  <c r="J110"/>
  <c r="J107" s="1"/>
  <c r="J106" s="1"/>
  <c r="J176"/>
  <c r="I9"/>
  <c r="K9"/>
  <c r="G74"/>
  <c r="G61" s="1"/>
  <c r="F89"/>
  <c r="H89"/>
  <c r="I155"/>
  <c r="K155"/>
  <c r="G176" i="110" l="1"/>
  <c r="G37"/>
  <c r="L111" i="113"/>
  <c r="L110" s="1"/>
  <c r="L9"/>
  <c r="G120" i="110"/>
  <c r="G119" s="1"/>
  <c r="G169"/>
  <c r="G164" s="1"/>
  <c r="G36" s="1"/>
  <c r="G59" i="113"/>
  <c r="G60"/>
  <c r="L198" l="1"/>
  <c r="J14" i="118" l="1"/>
  <c r="J40"/>
  <c r="J15"/>
  <c r="J48" l="1"/>
  <c r="D13"/>
  <c r="E13"/>
  <c r="G13"/>
  <c r="H13"/>
  <c r="F14"/>
  <c r="K14"/>
  <c r="M14"/>
  <c r="N14"/>
  <c r="O14"/>
  <c r="Q14"/>
  <c r="G15"/>
  <c r="H15"/>
  <c r="K15"/>
  <c r="L15" s="1"/>
  <c r="P15"/>
  <c r="F16"/>
  <c r="I16"/>
  <c r="K16"/>
  <c r="L16" s="1"/>
  <c r="M16"/>
  <c r="M15" s="1"/>
  <c r="N16"/>
  <c r="N15" s="1"/>
  <c r="O16"/>
  <c r="O15" s="1"/>
  <c r="Q16"/>
  <c r="Q15" s="1"/>
  <c r="I17"/>
  <c r="K17"/>
  <c r="L17" s="1"/>
  <c r="M17"/>
  <c r="N17"/>
  <c r="O17"/>
  <c r="P17"/>
  <c r="P13" s="1"/>
  <c r="Q17"/>
  <c r="R17" s="1"/>
  <c r="D18"/>
  <c r="E18"/>
  <c r="F18" s="1"/>
  <c r="G18"/>
  <c r="H18"/>
  <c r="I18"/>
  <c r="J18"/>
  <c r="K18"/>
  <c r="L18" s="1"/>
  <c r="P18"/>
  <c r="Q18"/>
  <c r="F19"/>
  <c r="I19"/>
  <c r="K19"/>
  <c r="L19" s="1"/>
  <c r="M19"/>
  <c r="M18" s="1"/>
  <c r="N19"/>
  <c r="N18" s="1"/>
  <c r="O19"/>
  <c r="O18" s="1"/>
  <c r="Q19"/>
  <c r="R19"/>
  <c r="R18" s="1"/>
  <c r="F20"/>
  <c r="I20"/>
  <c r="K20"/>
  <c r="L20" s="1"/>
  <c r="Q20"/>
  <c r="R20" s="1"/>
  <c r="D21"/>
  <c r="E21"/>
  <c r="F21"/>
  <c r="F23"/>
  <c r="H24"/>
  <c r="H23" s="1"/>
  <c r="H22" s="1"/>
  <c r="I24"/>
  <c r="I23" s="1"/>
  <c r="I22" s="1"/>
  <c r="J24"/>
  <c r="J23" s="1"/>
  <c r="K24"/>
  <c r="L24" s="1"/>
  <c r="P24"/>
  <c r="P23" s="1"/>
  <c r="P22" s="1"/>
  <c r="F25"/>
  <c r="F24" s="1"/>
  <c r="G25"/>
  <c r="G24" s="1"/>
  <c r="G23" s="1"/>
  <c r="G22" s="1"/>
  <c r="K25"/>
  <c r="L25" s="1"/>
  <c r="M25"/>
  <c r="M24" s="1"/>
  <c r="M23" s="1"/>
  <c r="M22" s="1"/>
  <c r="N25"/>
  <c r="N24" s="1"/>
  <c r="N23" s="1"/>
  <c r="N22" s="1"/>
  <c r="O25"/>
  <c r="O24" s="1"/>
  <c r="O23" s="1"/>
  <c r="O22" s="1"/>
  <c r="Q25"/>
  <c r="R25" s="1"/>
  <c r="R24" s="1"/>
  <c r="R23" s="1"/>
  <c r="R22" s="1"/>
  <c r="D26"/>
  <c r="D25" s="1"/>
  <c r="D24" s="1"/>
  <c r="E26"/>
  <c r="E25" s="1"/>
  <c r="E24" s="1"/>
  <c r="G26"/>
  <c r="H26"/>
  <c r="I26"/>
  <c r="J26"/>
  <c r="K27"/>
  <c r="K26" s="1"/>
  <c r="M27"/>
  <c r="M26" s="1"/>
  <c r="N27"/>
  <c r="N26" s="1"/>
  <c r="O27"/>
  <c r="O26" s="1"/>
  <c r="P27"/>
  <c r="P26" s="1"/>
  <c r="Q27"/>
  <c r="Q26" s="1"/>
  <c r="G30"/>
  <c r="G29" s="1"/>
  <c r="G28" s="1"/>
  <c r="H30"/>
  <c r="H29" s="1"/>
  <c r="H28" s="1"/>
  <c r="I30"/>
  <c r="I29" s="1"/>
  <c r="I28" s="1"/>
  <c r="J30"/>
  <c r="J29" s="1"/>
  <c r="J28" s="1"/>
  <c r="D31"/>
  <c r="D30" s="1"/>
  <c r="D29" s="1"/>
  <c r="E31"/>
  <c r="E30" s="1"/>
  <c r="E29" s="1"/>
  <c r="F31"/>
  <c r="F30" s="1"/>
  <c r="F29" s="1"/>
  <c r="K31"/>
  <c r="K30" s="1"/>
  <c r="K29" s="1"/>
  <c r="K28" s="1"/>
  <c r="Q31"/>
  <c r="Q30" s="1"/>
  <c r="Q29" s="1"/>
  <c r="G34"/>
  <c r="G33" s="1"/>
  <c r="G32" s="1"/>
  <c r="H34"/>
  <c r="H33" s="1"/>
  <c r="H32" s="1"/>
  <c r="I34"/>
  <c r="I33" s="1"/>
  <c r="I32" s="1"/>
  <c r="D35"/>
  <c r="E35"/>
  <c r="F35"/>
  <c r="J35"/>
  <c r="J34" s="1"/>
  <c r="J33" s="1"/>
  <c r="J32" s="1"/>
  <c r="D40"/>
  <c r="E40"/>
  <c r="F40"/>
  <c r="G40"/>
  <c r="H40"/>
  <c r="K40"/>
  <c r="L40"/>
  <c r="I41"/>
  <c r="M41"/>
  <c r="M40" s="1"/>
  <c r="N41"/>
  <c r="N40" s="1"/>
  <c r="O41"/>
  <c r="O40" s="1"/>
  <c r="P41"/>
  <c r="P40" s="1"/>
  <c r="Q41"/>
  <c r="Q40" s="1"/>
  <c r="D44"/>
  <c r="D41" s="1"/>
  <c r="E44"/>
  <c r="E41" s="1"/>
  <c r="F44"/>
  <c r="F41" s="1"/>
  <c r="J44"/>
  <c r="J43" s="1"/>
  <c r="G45"/>
  <c r="G44" s="1"/>
  <c r="H45"/>
  <c r="H44" s="1"/>
  <c r="I45"/>
  <c r="J45"/>
  <c r="M45" s="1"/>
  <c r="M44" s="1"/>
  <c r="K45"/>
  <c r="K44" s="1"/>
  <c r="L45"/>
  <c r="L44" s="1"/>
  <c r="M46"/>
  <c r="N46"/>
  <c r="O46"/>
  <c r="P46"/>
  <c r="Q46"/>
  <c r="R46" s="1"/>
  <c r="M47"/>
  <c r="N47"/>
  <c r="O47"/>
  <c r="P47"/>
  <c r="Q47"/>
  <c r="R47" s="1"/>
  <c r="G48"/>
  <c r="H48"/>
  <c r="K48"/>
  <c r="L48"/>
  <c r="I49"/>
  <c r="I48" s="1"/>
  <c r="M49"/>
  <c r="M48" s="1"/>
  <c r="N49"/>
  <c r="N48" s="1"/>
  <c r="O49"/>
  <c r="O48" s="1"/>
  <c r="P49"/>
  <c r="P48" s="1"/>
  <c r="Q49"/>
  <c r="Q48" s="1"/>
  <c r="E34" l="1"/>
  <c r="E33" s="1"/>
  <c r="P45"/>
  <c r="P44" s="1"/>
  <c r="P43" s="1"/>
  <c r="P39" s="1"/>
  <c r="P38" s="1"/>
  <c r="K43"/>
  <c r="K39" s="1"/>
  <c r="K38" s="1"/>
  <c r="G43"/>
  <c r="G39" s="1"/>
  <c r="G38" s="1"/>
  <c r="O35"/>
  <c r="O34" s="1"/>
  <c r="O33" s="1"/>
  <c r="O32" s="1"/>
  <c r="F34"/>
  <c r="F33" s="1"/>
  <c r="D34"/>
  <c r="D33" s="1"/>
  <c r="H21"/>
  <c r="H11" s="1"/>
  <c r="F13"/>
  <c r="G12"/>
  <c r="D12"/>
  <c r="L43"/>
  <c r="L39" s="1"/>
  <c r="L38" s="1"/>
  <c r="G21"/>
  <c r="I21"/>
  <c r="P12"/>
  <c r="I13"/>
  <c r="I12" s="1"/>
  <c r="I11" s="1"/>
  <c r="H12"/>
  <c r="E12"/>
  <c r="R49"/>
  <c r="R48" s="1"/>
  <c r="N45"/>
  <c r="N44" s="1"/>
  <c r="J39"/>
  <c r="J38" s="1"/>
  <c r="O45"/>
  <c r="O44" s="1"/>
  <c r="Q35"/>
  <c r="R35" s="1"/>
  <c r="R34" s="1"/>
  <c r="R33" s="1"/>
  <c r="R32" s="1"/>
  <c r="M35"/>
  <c r="M34" s="1"/>
  <c r="M33" s="1"/>
  <c r="M32" s="1"/>
  <c r="P35"/>
  <c r="P34" s="1"/>
  <c r="P33" s="1"/>
  <c r="P32" s="1"/>
  <c r="N35"/>
  <c r="N34" s="1"/>
  <c r="N33" s="1"/>
  <c r="N32" s="1"/>
  <c r="K35"/>
  <c r="L35" s="1"/>
  <c r="L34" s="1"/>
  <c r="L33" s="1"/>
  <c r="L32" s="1"/>
  <c r="R27"/>
  <c r="R26" s="1"/>
  <c r="R21" s="1"/>
  <c r="L27"/>
  <c r="L26" s="1"/>
  <c r="N21"/>
  <c r="Q24"/>
  <c r="Q23" s="1"/>
  <c r="Q22" s="1"/>
  <c r="K13"/>
  <c r="K12" s="1"/>
  <c r="Q13"/>
  <c r="Q12" s="1"/>
  <c r="N13"/>
  <c r="N12" s="1"/>
  <c r="N11" s="1"/>
  <c r="O13"/>
  <c r="O12" s="1"/>
  <c r="M13"/>
  <c r="R14"/>
  <c r="R44"/>
  <c r="R43" s="1"/>
  <c r="R45"/>
  <c r="M43"/>
  <c r="M39" s="1"/>
  <c r="M38" s="1"/>
  <c r="Q21"/>
  <c r="M12"/>
  <c r="F12"/>
  <c r="F11" s="1"/>
  <c r="G11"/>
  <c r="G50" s="1"/>
  <c r="D11"/>
  <c r="D48" s="1"/>
  <c r="H43"/>
  <c r="I44"/>
  <c r="I43" s="1"/>
  <c r="J22"/>
  <c r="K23"/>
  <c r="L23" s="1"/>
  <c r="O43"/>
  <c r="O39" s="1"/>
  <c r="O38" s="1"/>
  <c r="N43"/>
  <c r="N39" s="1"/>
  <c r="N38" s="1"/>
  <c r="H39"/>
  <c r="H38" s="1"/>
  <c r="O21"/>
  <c r="M21"/>
  <c r="P21"/>
  <c r="P11" s="1"/>
  <c r="E11"/>
  <c r="E48" s="1"/>
  <c r="Q45"/>
  <c r="Q44"/>
  <c r="Q43" s="1"/>
  <c r="Q39" s="1"/>
  <c r="Q38" s="1"/>
  <c r="Q34"/>
  <c r="Q33" s="1"/>
  <c r="Q32" s="1"/>
  <c r="K34"/>
  <c r="K33" s="1"/>
  <c r="K32" s="1"/>
  <c r="J13"/>
  <c r="J12" s="1"/>
  <c r="R41"/>
  <c r="I40"/>
  <c r="I39" s="1"/>
  <c r="I38" s="1"/>
  <c r="R31"/>
  <c r="R30" s="1"/>
  <c r="R29" s="1"/>
  <c r="R28" s="1"/>
  <c r="L31"/>
  <c r="L30" s="1"/>
  <c r="L29" s="1"/>
  <c r="L28" s="1"/>
  <c r="R16"/>
  <c r="R15" s="1"/>
  <c r="I15"/>
  <c r="L14"/>
  <c r="L13" s="1"/>
  <c r="L12" s="1"/>
  <c r="F48" l="1"/>
  <c r="H50"/>
  <c r="P50"/>
  <c r="N50"/>
  <c r="R40"/>
  <c r="R39" s="1"/>
  <c r="R38" s="1"/>
  <c r="E49"/>
  <c r="E50"/>
  <c r="D49"/>
  <c r="D50"/>
  <c r="F49"/>
  <c r="F50"/>
  <c r="O11"/>
  <c r="O50" s="1"/>
  <c r="I50"/>
  <c r="Q28"/>
  <c r="Q11" s="1"/>
  <c r="Q50" s="1"/>
  <c r="J21"/>
  <c r="K22"/>
  <c r="J11"/>
  <c r="J50" s="1"/>
  <c r="C15" i="121" s="1"/>
  <c r="C14" s="1"/>
  <c r="C13" s="1"/>
  <c r="C12" s="1"/>
  <c r="M11" i="118"/>
  <c r="M50" s="1"/>
  <c r="R13"/>
  <c r="R12" s="1"/>
  <c r="R11" s="1"/>
  <c r="C20" i="121" l="1"/>
  <c r="C21" s="1"/>
  <c r="C11"/>
  <c r="R50" i="118"/>
  <c r="T41"/>
  <c r="L22"/>
  <c r="L21" s="1"/>
  <c r="L11" s="1"/>
  <c r="L50" s="1"/>
  <c r="K21"/>
  <c r="K11" s="1"/>
  <c r="K50" s="1"/>
  <c r="G207" i="110" l="1"/>
  <c r="G206"/>
  <c r="N27" i="113" l="1"/>
  <c r="N26" l="1"/>
  <c r="N28" s="1"/>
  <c r="L66" i="75" l="1"/>
  <c r="K66"/>
  <c r="J66"/>
  <c r="I66"/>
  <c r="H66"/>
  <c r="G66"/>
  <c r="P64" l="1"/>
  <c r="O64"/>
  <c r="N64"/>
  <c r="M64"/>
  <c r="P63"/>
  <c r="O63"/>
  <c r="N63"/>
  <c r="M63"/>
  <c r="I63"/>
  <c r="L62"/>
  <c r="K62"/>
  <c r="J62" l="1"/>
  <c r="I62"/>
  <c r="H62"/>
  <c r="G62"/>
  <c r="F62"/>
  <c r="E62"/>
  <c r="P61"/>
  <c r="O61"/>
  <c r="N61"/>
  <c r="M61"/>
  <c r="L61"/>
  <c r="K61"/>
  <c r="J61"/>
  <c r="I61"/>
  <c r="H61"/>
  <c r="G61"/>
  <c r="P60"/>
  <c r="O60"/>
  <c r="N60"/>
  <c r="M60"/>
  <c r="P59"/>
  <c r="O59"/>
  <c r="N59"/>
  <c r="M59"/>
  <c r="L58"/>
  <c r="K58"/>
  <c r="J58"/>
  <c r="O58" s="1"/>
  <c r="I58"/>
  <c r="H58"/>
  <c r="H57" s="1"/>
  <c r="G58"/>
  <c r="L57"/>
  <c r="K57"/>
  <c r="J57"/>
  <c r="F57"/>
  <c r="E57"/>
  <c r="D57"/>
  <c r="G57" l="1"/>
  <c r="I57"/>
  <c r="N58"/>
  <c r="P58"/>
  <c r="P57" s="1"/>
  <c r="O57" s="1"/>
  <c r="N57" s="1"/>
  <c r="M57" s="1"/>
  <c r="M58"/>
  <c r="J56"/>
  <c r="H56"/>
  <c r="G56" s="1"/>
  <c r="L54"/>
  <c r="L53" s="1"/>
  <c r="K54"/>
  <c r="J54"/>
  <c r="I54"/>
  <c r="H54"/>
  <c r="H53" s="1"/>
  <c r="G54"/>
  <c r="F54"/>
  <c r="E54"/>
  <c r="D54"/>
  <c r="D53" s="1"/>
  <c r="J53"/>
  <c r="I53" s="1"/>
  <c r="F53"/>
  <c r="P52"/>
  <c r="P50" s="1"/>
  <c r="O52"/>
  <c r="N52"/>
  <c r="N50" s="1"/>
  <c r="M52"/>
  <c r="I52"/>
  <c r="L51"/>
  <c r="K51"/>
  <c r="J51"/>
  <c r="H51"/>
  <c r="G51"/>
  <c r="O50"/>
  <c r="M50"/>
  <c r="L50"/>
  <c r="K50"/>
  <c r="J50"/>
  <c r="H50"/>
  <c r="G50"/>
  <c r="F50"/>
  <c r="E50"/>
  <c r="D50"/>
  <c r="I51" l="1"/>
  <c r="E53"/>
  <c r="G53"/>
  <c r="K53"/>
  <c r="I56"/>
  <c r="P49"/>
  <c r="I50"/>
  <c r="F52"/>
  <c r="E52" s="1"/>
  <c r="D52" s="1"/>
  <c r="P51" s="1"/>
  <c r="O51" s="1"/>
  <c r="N51" s="1"/>
  <c r="M51" s="1"/>
  <c r="P56"/>
  <c r="O56" s="1"/>
  <c r="J49"/>
  <c r="I49" s="1"/>
  <c r="H49" s="1"/>
  <c r="G49"/>
  <c r="L47"/>
  <c r="K47"/>
  <c r="F47"/>
  <c r="E47"/>
  <c r="D47"/>
  <c r="P48" l="1"/>
  <c r="N56"/>
  <c r="O49"/>
  <c r="J46"/>
  <c r="F46"/>
  <c r="E46"/>
  <c r="E45" s="1"/>
  <c r="D46"/>
  <c r="I45"/>
  <c r="H45"/>
  <c r="G45"/>
  <c r="F45" s="1"/>
  <c r="D45"/>
  <c r="H44"/>
  <c r="P46" l="1"/>
  <c r="P45" s="1"/>
  <c r="N46"/>
  <c r="K46"/>
  <c r="K45" s="1"/>
  <c r="O46"/>
  <c r="M46"/>
  <c r="L46" s="1"/>
  <c r="G44"/>
  <c r="F44" s="1"/>
  <c r="E44" s="1"/>
  <c r="D44" s="1"/>
  <c r="J45"/>
  <c r="M56"/>
  <c r="N49"/>
  <c r="O48"/>
  <c r="N48" s="1"/>
  <c r="K42"/>
  <c r="F42" s="1"/>
  <c r="E42" s="1"/>
  <c r="D42" s="1"/>
  <c r="O45" l="1"/>
  <c r="N45" s="1"/>
  <c r="M45" s="1"/>
  <c r="L45" s="1"/>
  <c r="P44"/>
  <c r="O44" s="1"/>
  <c r="N44" s="1"/>
  <c r="M44" s="1"/>
  <c r="L44" s="1"/>
  <c r="K44" s="1"/>
  <c r="J44" s="1"/>
  <c r="L56"/>
  <c r="M49"/>
  <c r="M48" s="1"/>
  <c r="K41"/>
  <c r="J41"/>
  <c r="I41"/>
  <c r="H41"/>
  <c r="G41"/>
  <c r="F41" s="1"/>
  <c r="E41" s="1"/>
  <c r="D41" s="1"/>
  <c r="K56" l="1"/>
  <c r="K49" s="1"/>
  <c r="L49"/>
  <c r="L48" s="1"/>
  <c r="K48" s="1"/>
  <c r="J48" s="1"/>
  <c r="I48" s="1"/>
  <c r="H48" s="1"/>
  <c r="G48" s="1"/>
  <c r="I44"/>
  <c r="J43"/>
  <c r="P43"/>
  <c r="O43" s="1"/>
  <c r="N43" s="1"/>
  <c r="M43" s="1"/>
  <c r="L43" s="1"/>
  <c r="K43" s="1"/>
  <c r="I40"/>
  <c r="I39" s="1"/>
  <c r="H40"/>
  <c r="G40"/>
  <c r="F40" s="1"/>
  <c r="E40" s="1"/>
  <c r="D40" s="1"/>
  <c r="H39"/>
  <c r="I38"/>
  <c r="F38"/>
  <c r="I37"/>
  <c r="G37"/>
  <c r="F37"/>
  <c r="D37"/>
  <c r="I36"/>
  <c r="E36"/>
  <c r="D36" s="1"/>
  <c r="H35"/>
  <c r="E35"/>
  <c r="D35" s="1"/>
  <c r="P34"/>
  <c r="O34"/>
  <c r="N34"/>
  <c r="M34"/>
  <c r="K34"/>
  <c r="P33" s="1"/>
  <c r="O33" s="1"/>
  <c r="N33" s="1"/>
  <c r="M33" s="1"/>
  <c r="J33"/>
  <c r="I33"/>
  <c r="H33"/>
  <c r="G33"/>
  <c r="E33"/>
  <c r="D33"/>
  <c r="O32"/>
  <c r="N32"/>
  <c r="M32"/>
  <c r="K32"/>
  <c r="G32"/>
  <c r="F32"/>
  <c r="E32"/>
  <c r="P31"/>
  <c r="O31"/>
  <c r="N31"/>
  <c r="M31"/>
  <c r="J31"/>
  <c r="K31" s="1"/>
  <c r="I31"/>
  <c r="H31"/>
  <c r="G31" s="1"/>
  <c r="F31" s="1"/>
  <c r="E31" s="1"/>
  <c r="I30"/>
  <c r="F30"/>
  <c r="J30" l="1"/>
  <c r="K30" s="1"/>
  <c r="D32"/>
  <c r="D31" s="1"/>
  <c r="P30" s="1"/>
  <c r="L32"/>
  <c r="G39"/>
  <c r="L30"/>
  <c r="L31"/>
  <c r="H30"/>
  <c r="G30" s="1"/>
  <c r="K33"/>
  <c r="L34"/>
  <c r="L33" s="1"/>
  <c r="G36"/>
  <c r="F36" s="1"/>
  <c r="I43"/>
  <c r="H43" s="1"/>
  <c r="G43" s="1"/>
  <c r="L42" s="1"/>
  <c r="L41" s="1"/>
  <c r="J29"/>
  <c r="I29" s="1"/>
  <c r="H28"/>
  <c r="F28"/>
  <c r="H27"/>
  <c r="F27"/>
  <c r="D27"/>
  <c r="H26"/>
  <c r="I26" s="1"/>
  <c r="F26"/>
  <c r="E26"/>
  <c r="D26"/>
  <c r="H25"/>
  <c r="F25"/>
  <c r="E25"/>
  <c r="D25"/>
  <c r="O30" l="1"/>
  <c r="N30" s="1"/>
  <c r="M30" s="1"/>
  <c r="P29"/>
  <c r="K29"/>
  <c r="L29" s="1"/>
  <c r="H29"/>
  <c r="G29" s="1"/>
  <c r="G35"/>
  <c r="F35" s="1"/>
  <c r="K24"/>
  <c r="J24"/>
  <c r="I24" s="1"/>
  <c r="H24" s="1"/>
  <c r="G24" s="1"/>
  <c r="F24" s="1"/>
  <c r="E24"/>
  <c r="D24" s="1"/>
  <c r="O29" l="1"/>
  <c r="P24"/>
  <c r="J23"/>
  <c r="F23"/>
  <c r="P22"/>
  <c r="P21" s="1"/>
  <c r="I22"/>
  <c r="I21" s="1"/>
  <c r="H22"/>
  <c r="G22"/>
  <c r="G21" s="1"/>
  <c r="F22"/>
  <c r="D22"/>
  <c r="H21"/>
  <c r="F21"/>
  <c r="E21"/>
  <c r="D21"/>
  <c r="I20"/>
  <c r="F20"/>
  <c r="O19"/>
  <c r="N19"/>
  <c r="M19"/>
  <c r="I19"/>
  <c r="F19"/>
  <c r="N29" l="1"/>
  <c r="O24"/>
  <c r="N23"/>
  <c r="N22" s="1"/>
  <c r="N21" s="1"/>
  <c r="K23"/>
  <c r="O23"/>
  <c r="O22" s="1"/>
  <c r="O21" s="1"/>
  <c r="M23"/>
  <c r="J22"/>
  <c r="J21" s="1"/>
  <c r="P18"/>
  <c r="O18"/>
  <c r="N18"/>
  <c r="M18"/>
  <c r="J18"/>
  <c r="I18" s="1"/>
  <c r="H18"/>
  <c r="G18"/>
  <c r="F18" s="1"/>
  <c r="E18"/>
  <c r="D18"/>
  <c r="P17"/>
  <c r="O17"/>
  <c r="N17"/>
  <c r="M17"/>
  <c r="I17"/>
  <c r="I16"/>
  <c r="O15"/>
  <c r="N15"/>
  <c r="M15"/>
  <c r="I15"/>
  <c r="I14" s="1"/>
  <c r="F15"/>
  <c r="P14"/>
  <c r="O14" s="1"/>
  <c r="N14" s="1"/>
  <c r="M14" s="1"/>
  <c r="J14"/>
  <c r="K14" s="1"/>
  <c r="H14"/>
  <c r="G14"/>
  <c r="I13"/>
  <c r="F13"/>
  <c r="O12"/>
  <c r="N12"/>
  <c r="M12"/>
  <c r="K12"/>
  <c r="L12" s="1"/>
  <c r="F12"/>
  <c r="P11" s="1"/>
  <c r="N11"/>
  <c r="H11"/>
  <c r="G11"/>
  <c r="G10" s="1"/>
  <c r="E11"/>
  <c r="D11"/>
  <c r="M29" l="1"/>
  <c r="M24" s="1"/>
  <c r="L24" s="1"/>
  <c r="N24"/>
  <c r="O11"/>
  <c r="L14"/>
  <c r="P10"/>
  <c r="O10" s="1"/>
  <c r="N10" s="1"/>
  <c r="F11"/>
  <c r="F10" s="1"/>
  <c r="F9" s="1"/>
  <c r="I11"/>
  <c r="M11"/>
  <c r="L23"/>
  <c r="M22"/>
  <c r="M21" s="1"/>
  <c r="E10"/>
  <c r="D10" s="1"/>
  <c r="O9"/>
  <c r="N9" s="1"/>
  <c r="D9"/>
  <c r="J66" i="59"/>
  <c r="J65"/>
  <c r="H65"/>
  <c r="J63"/>
  <c r="H63"/>
  <c r="J61"/>
  <c r="H61"/>
  <c r="J59"/>
  <c r="B58"/>
  <c r="H58" s="1"/>
  <c r="H57"/>
  <c r="H56"/>
  <c r="M10" i="75" l="1"/>
  <c r="E9"/>
  <c r="F61"/>
  <c r="M9"/>
  <c r="P9"/>
  <c r="P65" s="1"/>
  <c r="O65" s="1"/>
  <c r="N65" s="1"/>
  <c r="H55" i="59"/>
  <c r="H54"/>
  <c r="H53"/>
  <c r="B52"/>
  <c r="J50"/>
  <c r="B49"/>
  <c r="H49" s="1"/>
  <c r="B48"/>
  <c r="J46"/>
  <c r="H45"/>
  <c r="H44"/>
  <c r="H46" s="1"/>
  <c r="H42"/>
  <c r="H41"/>
  <c r="H40" s="1"/>
  <c r="J38"/>
  <c r="H37"/>
  <c r="H36"/>
  <c r="H35"/>
  <c r="J62" l="1"/>
  <c r="M65" i="75"/>
  <c r="E61"/>
  <c r="F65"/>
  <c r="F63"/>
  <c r="H38" i="59"/>
  <c r="H48"/>
  <c r="H50" s="1"/>
  <c r="H52"/>
  <c r="H59" s="1"/>
  <c r="G30"/>
  <c r="H30" s="1"/>
  <c r="H31" l="1"/>
  <c r="H29" s="1"/>
  <c r="D61" i="75"/>
  <c r="E63"/>
  <c r="E65"/>
  <c r="D25" i="59"/>
  <c r="H25" s="1"/>
  <c r="H24"/>
  <c r="H23"/>
  <c r="E22"/>
  <c r="H21"/>
  <c r="H20"/>
  <c r="H19"/>
  <c r="H18"/>
  <c r="H15"/>
  <c r="B9"/>
  <c r="H8"/>
  <c r="H7"/>
  <c r="H6"/>
  <c r="H9" s="1"/>
  <c r="H4"/>
  <c r="H5" s="1"/>
  <c r="J5" l="1"/>
  <c r="H22"/>
  <c r="H26" s="1"/>
  <c r="H32" s="1"/>
  <c r="D65" i="75"/>
  <c r="D63"/>
  <c r="P62" s="1"/>
  <c r="O62" s="1"/>
  <c r="N62" s="1"/>
  <c r="M62" s="1"/>
  <c r="G209" i="110"/>
  <c r="J31" i="59" l="1"/>
  <c r="L12" i="114"/>
  <c r="H16" i="59" l="1"/>
  <c r="H27"/>
  <c r="H33"/>
  <c r="J33" s="1"/>
  <c r="J27"/>
  <c r="H10"/>
  <c r="J10"/>
  <c r="K15" i="75"/>
  <c r="L15"/>
  <c r="J13"/>
  <c r="K13"/>
  <c r="L13" s="1"/>
  <c r="J16"/>
  <c r="K16" s="1"/>
  <c r="K17"/>
  <c r="L17"/>
  <c r="K18"/>
  <c r="L18"/>
  <c r="K22"/>
  <c r="L22"/>
  <c r="L21" s="1"/>
  <c r="I35"/>
  <c r="J35" s="1"/>
  <c r="K21"/>
  <c r="J11"/>
  <c r="J10"/>
  <c r="J40"/>
  <c r="J39"/>
  <c r="I10"/>
  <c r="H10"/>
  <c r="J16" i="59"/>
  <c r="J68"/>
  <c r="J70" s="1"/>
  <c r="J72" s="1"/>
  <c r="H9" i="75"/>
  <c r="K19"/>
  <c r="L19" s="1"/>
  <c r="K20"/>
  <c r="L20" s="1"/>
  <c r="I28"/>
  <c r="J28" s="1"/>
  <c r="K28" s="1"/>
  <c r="L28" s="1"/>
  <c r="M28" s="1"/>
  <c r="N28" s="1"/>
  <c r="O28" s="1"/>
  <c r="P28" s="1"/>
  <c r="I25"/>
  <c r="J25" s="1"/>
  <c r="K25" s="1"/>
  <c r="L25" s="1"/>
  <c r="M25" s="1"/>
  <c r="N25" s="1"/>
  <c r="O25" s="1"/>
  <c r="P25" s="1"/>
  <c r="I27"/>
  <c r="J27" s="1"/>
  <c r="K27" s="1"/>
  <c r="L27" s="1"/>
  <c r="M27" s="1"/>
  <c r="N27" s="1"/>
  <c r="O27" s="1"/>
  <c r="P27" s="1"/>
  <c r="J26"/>
  <c r="K26" s="1"/>
  <c r="L26" s="1"/>
  <c r="M26" s="1"/>
  <c r="N26" s="1"/>
  <c r="O26" s="1"/>
  <c r="P26" s="1"/>
  <c r="L40"/>
  <c r="L39"/>
  <c r="K40"/>
  <c r="K39"/>
  <c r="J37"/>
  <c r="K37"/>
  <c r="L37" s="1"/>
  <c r="J38"/>
  <c r="K38" s="1"/>
  <c r="L38" s="1"/>
  <c r="J36"/>
  <c r="K36"/>
  <c r="L36" s="1"/>
  <c r="I9"/>
  <c r="H65"/>
  <c r="G9"/>
  <c r="G65" s="1"/>
  <c r="I65"/>
  <c r="I69" s="1"/>
  <c r="H67"/>
  <c r="H69"/>
  <c r="L16" l="1"/>
  <c r="K11"/>
  <c r="K10" s="1"/>
  <c r="K9" s="1"/>
  <c r="K65" s="1"/>
  <c r="G67"/>
  <c r="G69"/>
  <c r="K35"/>
  <c r="L35" s="1"/>
  <c r="J9"/>
  <c r="L11"/>
  <c r="L10" s="1"/>
  <c r="L9" s="1"/>
  <c r="L65" s="1"/>
  <c r="I67"/>
  <c r="J65" l="1"/>
  <c r="R40"/>
  <c r="K69"/>
  <c r="K67"/>
  <c r="L69"/>
  <c r="L67"/>
  <c r="J72" l="1"/>
  <c r="J73" s="1"/>
  <c r="J67"/>
  <c r="J69"/>
</calcChain>
</file>

<file path=xl/sharedStrings.xml><?xml version="1.0" encoding="utf-8"?>
<sst xmlns="http://schemas.openxmlformats.org/spreadsheetml/2006/main" count="2229" uniqueCount="662">
  <si>
    <t>№ п/п</t>
  </si>
  <si>
    <t>Источники доходов</t>
  </si>
  <si>
    <t>I</t>
  </si>
  <si>
    <t>1.2.</t>
  </si>
  <si>
    <t>2.</t>
  </si>
  <si>
    <t>НАЛОГИ НА СОВОКУПНЫЙ ДОХОД</t>
  </si>
  <si>
    <t>НАЛОГИ НА ИМУЩЕСТВО</t>
  </si>
  <si>
    <t>1.</t>
  </si>
  <si>
    <t>1.1.</t>
  </si>
  <si>
    <t>ИТОГО ДОХОДОВ</t>
  </si>
  <si>
    <t>6.1.</t>
  </si>
  <si>
    <t>Код статьи</t>
  </si>
  <si>
    <t>ВСЕГО РАСХОДОВ</t>
  </si>
  <si>
    <t>ДЕФИЦИТ(-) Профицит(+)</t>
  </si>
  <si>
    <t>0100</t>
  </si>
  <si>
    <t>Код целевой статьи</t>
  </si>
  <si>
    <t>000 1 00 00000 00 0000 000</t>
  </si>
  <si>
    <t>000 1 11 00000 00 0000 000</t>
  </si>
  <si>
    <t>ШТРАФЫ, САНКЦИИ, ВОЗМЕЩЕНИЕ УЩЕРБА</t>
  </si>
  <si>
    <t>000 1 16 00000 00 0000 000</t>
  </si>
  <si>
    <t>000 2 00 00000 00 0000 000</t>
  </si>
  <si>
    <t>0309</t>
  </si>
  <si>
    <t>0700</t>
  </si>
  <si>
    <t>0707</t>
  </si>
  <si>
    <t>0800</t>
  </si>
  <si>
    <t xml:space="preserve"> Наименование статей</t>
  </si>
  <si>
    <t>Код раздела и подраздела</t>
  </si>
  <si>
    <t>Код вида расходов</t>
  </si>
  <si>
    <t>Код экономической статьи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</si>
  <si>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</si>
  <si>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</si>
  <si>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</si>
  <si>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</si>
  <si>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</si>
  <si>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</si>
  <si>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</si>
  <si>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</si>
  <si>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</si>
  <si>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</si>
  <si>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</si>
  <si>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</si>
  <si>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7</t>
  </si>
  <si>
    <t>5</t>
  </si>
  <si>
    <t>0102</t>
  </si>
  <si>
    <t>1.1.1.1</t>
  </si>
  <si>
    <t>1.1.1</t>
  </si>
  <si>
    <t>0104</t>
  </si>
  <si>
    <t>II</t>
  </si>
  <si>
    <t>6</t>
  </si>
  <si>
    <t>000 1 16 90000 00 0000 140</t>
  </si>
  <si>
    <t>2</t>
  </si>
  <si>
    <t>6.1.1</t>
  </si>
  <si>
    <t>182 1 06 01010 03 0000 110</t>
  </si>
  <si>
    <t xml:space="preserve">000 1 16 90030 03 0000 140 </t>
  </si>
  <si>
    <t>Прочие поступления от денежных взысканий (штрафов) и иных сумм в возмещение ущерба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</si>
  <si>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</si>
  <si>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</si>
  <si>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000 1 13 00000 00 0000 000</t>
  </si>
  <si>
    <t>000 2 02 01000 00 0000 151</t>
  </si>
  <si>
    <t>Арендная плата и поступления от продажи права на заключение договоров аренды земельных участков, за исключением земельных участков , предоставленных на инвестиционных условиях</t>
  </si>
  <si>
    <t>993 2 02 01001 03 0000 151</t>
  </si>
  <si>
    <t>000 2 02 01001 00 0000 151</t>
  </si>
  <si>
    <t>1.1</t>
  </si>
  <si>
    <t>1.1.2</t>
  </si>
  <si>
    <t>2.1</t>
  </si>
  <si>
    <t>2.1.1</t>
  </si>
  <si>
    <t>3.1</t>
  </si>
  <si>
    <t>3.1.1</t>
  </si>
  <si>
    <t>4.1</t>
  </si>
  <si>
    <t>4.1.1</t>
  </si>
  <si>
    <t>4.1.1.1</t>
  </si>
  <si>
    <t>5.1</t>
  </si>
  <si>
    <t>7.1.1</t>
  </si>
  <si>
    <t>9.1</t>
  </si>
  <si>
    <t>ОБЩЕГОСУДАРСТВЕННЫЕ ВОПРОСЫ</t>
  </si>
  <si>
    <t>1.3.1.1</t>
  </si>
  <si>
    <t>3</t>
  </si>
  <si>
    <t>220</t>
  </si>
  <si>
    <t>4</t>
  </si>
  <si>
    <t>5.1.1</t>
  </si>
  <si>
    <t>0503</t>
  </si>
  <si>
    <t>Ликвидация несанкционированных свалок бытовых отходов и мусора</t>
  </si>
  <si>
    <t>Выполнение оформления к праздничным мероприятиям</t>
  </si>
  <si>
    <t>8</t>
  </si>
  <si>
    <t>000 2 02 03027 00 0000 151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</si>
  <si>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</si>
  <si>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</si>
  <si>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</si>
  <si>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993 2 02 03024 03 0000 151</t>
  </si>
  <si>
    <t>993 2 02 03027 03 0100 151</t>
  </si>
  <si>
    <t>9.1.1</t>
  </si>
  <si>
    <t>Сумма</t>
  </si>
  <si>
    <t>№        п/п</t>
  </si>
  <si>
    <t>итого</t>
  </si>
  <si>
    <t>материалы</t>
  </si>
  <si>
    <t>осн средства</t>
  </si>
  <si>
    <t>налог на имущ</t>
  </si>
  <si>
    <t>талоны на отходы</t>
  </si>
  <si>
    <t>рем. орг. техники</t>
  </si>
  <si>
    <t>сигн</t>
  </si>
  <si>
    <t>консультант+ 1С</t>
  </si>
  <si>
    <t>Начисление по дог.</t>
  </si>
  <si>
    <t>дог. подр.</t>
  </si>
  <si>
    <t>котел</t>
  </si>
  <si>
    <t>Ремонт помещ.</t>
  </si>
  <si>
    <t>Эл. эн.</t>
  </si>
  <si>
    <t>Водокан</t>
  </si>
  <si>
    <t>Проезд.карточки</t>
  </si>
  <si>
    <t>Почта</t>
  </si>
  <si>
    <t>ПТС</t>
  </si>
  <si>
    <t>аппарат МА</t>
  </si>
  <si>
    <t>Орган опеки</t>
  </si>
  <si>
    <t>Техслужба</t>
  </si>
  <si>
    <t>Спец 1 кат.</t>
  </si>
  <si>
    <t>Ведущий спец.</t>
  </si>
  <si>
    <t>Гл. спец</t>
  </si>
  <si>
    <t>Нач. отд.</t>
  </si>
  <si>
    <t>Гл. бух МА</t>
  </si>
  <si>
    <t>Зам. Главы МА</t>
  </si>
  <si>
    <t>Глава МА</t>
  </si>
  <si>
    <t>период</t>
  </si>
  <si>
    <t>высл.</t>
  </si>
  <si>
    <t>квал.</t>
  </si>
  <si>
    <t>Ставка</t>
  </si>
  <si>
    <t>Кол-во р.е.</t>
  </si>
  <si>
    <t>Кол-во</t>
  </si>
  <si>
    <t>Штатн.ед.наим</t>
  </si>
  <si>
    <t>Гл. бух МО</t>
  </si>
  <si>
    <t>Глава МО</t>
  </si>
  <si>
    <t>993 2 02 03024 03 0200 151</t>
  </si>
  <si>
    <t>итого 211</t>
  </si>
  <si>
    <t>итого 213</t>
  </si>
  <si>
    <t>993 2 02 03024 03 0100 151</t>
  </si>
  <si>
    <t>Гл. спец МО</t>
  </si>
  <si>
    <t>итого аппарат МС</t>
  </si>
  <si>
    <t>Командировочные</t>
  </si>
  <si>
    <t>Заработная плата и начисления  01.01.10</t>
  </si>
  <si>
    <t xml:space="preserve">обсл. моб. </t>
  </si>
  <si>
    <t>993</t>
  </si>
  <si>
    <t>Код по ГРБС</t>
  </si>
  <si>
    <t>3.1.1.1</t>
  </si>
  <si>
    <t>6.1</t>
  </si>
  <si>
    <t>Налог, взимаемый в связи с применением упрощенной системы налообложения.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</si>
  <si>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</si>
  <si>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</si>
  <si>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</si>
  <si>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</si>
  <si>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 от продажи права на заключение договоров аренды указанных земельных участков</t>
  </si>
  <si>
    <t>000 1 05 00000 00 0000 000</t>
  </si>
  <si>
    <t>000 1 06 00000 00 0000 000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</si>
  <si>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</si>
  <si>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5.1.1.1</t>
  </si>
  <si>
    <t>000 2 02 00000 00 0000 151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</si>
  <si>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</si>
  <si>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</si>
  <si>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6.1.1.1</t>
  </si>
  <si>
    <t>7.1</t>
  </si>
  <si>
    <t>923</t>
  </si>
  <si>
    <t>Глава муниципального образования</t>
  </si>
  <si>
    <t>000 1 11 05000 00 0000 120</t>
  </si>
  <si>
    <t>000 1 11 05010 00 0000 120</t>
  </si>
  <si>
    <t>1.2</t>
  </si>
  <si>
    <t xml:space="preserve">000 1 16 90030 03 0100 140 </t>
  </si>
  <si>
    <t>БЕЗВОЗМЕЗДНЫЕ ПОСТУПЛЕНИЯ</t>
  </si>
  <si>
    <t>1</t>
  </si>
  <si>
    <t>Глава местной администрации (исполнительно-распорядительного органа муниципального образования)</t>
  </si>
  <si>
    <t>Резервный фонд местной администрации</t>
  </si>
  <si>
    <t>Формирование архивных фондов органов местного самоуправления,муниципальных предприятий и учреждений</t>
  </si>
  <si>
    <t>2.1.1.1</t>
  </si>
  <si>
    <t>5.1.</t>
  </si>
  <si>
    <t>Физическая культура и спорт</t>
  </si>
  <si>
    <t>Охрана семьи и детства</t>
  </si>
  <si>
    <t xml:space="preserve">860 1 16 90030 03 0200 140 </t>
  </si>
  <si>
    <t>Главный распорядитель бюджетных средств - Муниципальный Совет муниципального образования п.Лисий Нос (ГРБС)</t>
  </si>
  <si>
    <t>Главный распорядитель бюджетных средств - Местная администрация муниципального образования п.Лисий Нос (ГРБС)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</si>
  <si>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</si>
  <si>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</si>
  <si>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1.2.1</t>
  </si>
  <si>
    <t>1.1.2.1</t>
  </si>
  <si>
    <t>1.2.1.1</t>
  </si>
  <si>
    <t>Защита населения и территорий от  чрезвычайных ситуаций природного и техногенного характера, гражданская оборона</t>
  </si>
  <si>
    <t>Приложение №2</t>
  </si>
  <si>
    <t>0111</t>
  </si>
  <si>
    <t>0113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</si>
  <si>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</si>
  <si>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</si>
  <si>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</si>
  <si>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</si>
  <si>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</si>
  <si>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</si>
  <si>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</si>
  <si>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8.1.1</t>
  </si>
  <si>
    <t>8.1.1.1</t>
  </si>
  <si>
    <t>12,7</t>
  </si>
  <si>
    <t>182 1 05 01011 01 0000 110</t>
  </si>
  <si>
    <t>182 1 05 01012 01 0000 110</t>
  </si>
  <si>
    <t>Налог, взимаемый с налогоплатильщиков,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</si>
  <si>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</si>
  <si>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</si>
  <si>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</si>
  <si>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182 1 05 02010 02 0000 110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</si>
  <si>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 </t>
  </si>
  <si>
    <t>Штрафы за административные правонарушения в обасти благоустройства, предусмотренные  главой 4 Закона Санкт-Петербурга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</si>
  <si>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 Закона Санкт-Петербурга "Об административных правонарушениях в Санкт-Петербурге"</t>
  </si>
  <si>
    <t>993 2 02 03027 03 0000 151</t>
  </si>
  <si>
    <t>7.2.1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</si>
  <si>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</si>
  <si>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7.2.1.1</t>
  </si>
  <si>
    <t>Культура, кинематография</t>
  </si>
  <si>
    <t>Дотации бюджетам внутригородских муниципальных образований городов федерального значения Москвы и Санкт-Петербурга на выравнивание  уровня бюджетной обеспеченности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</si>
  <si>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</si>
  <si>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 xml:space="preserve">План на 2011год(тыс. руб.) </t>
  </si>
  <si>
    <t>Прогноз исполнения за 2011 год</t>
  </si>
  <si>
    <t>Собственные доходы</t>
  </si>
  <si>
    <t>Проект</t>
  </si>
  <si>
    <t>План на 2011 год</t>
  </si>
  <si>
    <t>Исполнение  на 1.09.11</t>
  </si>
  <si>
    <t>000 2 02 02000 00 0000 151</t>
  </si>
  <si>
    <t>000 2 02 02999 00 0000 151</t>
  </si>
  <si>
    <t>Прочие субсидии</t>
  </si>
  <si>
    <t>1003</t>
  </si>
  <si>
    <t>Социальное обеспечение населения</t>
  </si>
  <si>
    <t xml:space="preserve">Расходы на предоставление доплат к пенсии лицам , замещавшим муниципальные должности и должности муниципальной службы </t>
  </si>
  <si>
    <t>0409</t>
  </si>
  <si>
    <t>Дорожное хозяйство</t>
  </si>
  <si>
    <t>8.1.</t>
  </si>
  <si>
    <t>9</t>
  </si>
  <si>
    <t>9.1.1.1</t>
  </si>
  <si>
    <t>993 2 02 02999 03 0000 151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</si>
  <si>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</si>
  <si>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7.2.</t>
  </si>
  <si>
    <t>1.3</t>
  </si>
  <si>
    <t>Компенсации депутатам, осуществляющим свои полномочия на непостоянной основе</t>
  </si>
  <si>
    <t>830 1 11 05011 02 0100 120</t>
  </si>
  <si>
    <t>ДОХОДЫ ОТ ОКАЗАНИЯ ПЛАТНЫХ УСЛУГ(РАБОТ) И КОМПЕНСАЦИИ ЗАТРАТ ГОСУДАРСТВА</t>
  </si>
  <si>
    <t>000 1 13 02990 00 0000 130</t>
  </si>
  <si>
    <t>Прочие доходы от  компенсации затрат государства</t>
  </si>
  <si>
    <t>000 1 13 02993 03 0000 130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</si>
  <si>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</si>
  <si>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867 1 13 02993 03 0100 130</t>
  </si>
  <si>
    <t>182 1 05 01050 01 0000 110</t>
  </si>
  <si>
    <t>Минимальный налог, зачисляемый в бюджеты субъектов Российской Федерации</t>
  </si>
  <si>
    <t>1.1.3</t>
  </si>
  <si>
    <t>000 1 05 01000 00 0000 110</t>
  </si>
  <si>
    <t>000 1 06 01000 00 0000 110</t>
  </si>
  <si>
    <t>000 1 05 02000 02 0000 110</t>
  </si>
  <si>
    <t>Проект на 2015 год</t>
  </si>
  <si>
    <t>993 2 02 03027 03 0200 151</t>
  </si>
  <si>
    <t>План на 2013 год</t>
  </si>
  <si>
    <t>Прогноз исполнения за 2013 год</t>
  </si>
  <si>
    <t>Проект на 2016 год</t>
  </si>
  <si>
    <t>Аппарат представительного органа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</si>
  <si>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</si>
  <si>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240</t>
  </si>
  <si>
    <t>Резервные средства</t>
  </si>
  <si>
    <t>870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</si>
  <si>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</si>
  <si>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Текущий ремонт и содержание дорог, расположенных в пределах границ муниципального образования</t>
  </si>
  <si>
    <t>Текущий ремонт придомовых территорий и дворовых территорий, включая проезды и выезды, пешеходные дорожки муниципального образования</t>
  </si>
  <si>
    <t>4.1.2</t>
  </si>
  <si>
    <t>4.1.2.1</t>
  </si>
  <si>
    <t>4.1.3</t>
  </si>
  <si>
    <t>4.1.3.1</t>
  </si>
  <si>
    <t>Благоустройство территории муниципального образования, связанное с обеспечением  санитарного благополучия населения</t>
  </si>
  <si>
    <t>Участие в обеспечении чистоты и порядка</t>
  </si>
  <si>
    <t>Озеленение территории муниципального образования</t>
  </si>
  <si>
    <t>Озеленение территорий , зеленых насаждений внутриквартального озеленения</t>
  </si>
  <si>
    <t>Прочие мероприятия в области благоустройства</t>
  </si>
  <si>
    <t>6.2</t>
  </si>
  <si>
    <t>0804</t>
  </si>
  <si>
    <t>6.2.1.1</t>
  </si>
  <si>
    <t>7.1.1.1</t>
  </si>
  <si>
    <t>Периодические издания, учрежденные представительными органами местного самоуправления</t>
  </si>
  <si>
    <t>9.1.2</t>
  </si>
  <si>
    <t>Опубликование муниципальных правовых актов, иной информации</t>
  </si>
  <si>
    <t>План на 2013г. (тыс.руб)</t>
  </si>
  <si>
    <t>000 1 05 01020 01 0000 110</t>
  </si>
  <si>
    <t>000 1 11 05011 02 0000 120</t>
  </si>
  <si>
    <t>3.1.1.1.0</t>
  </si>
  <si>
    <t>3.2</t>
  </si>
  <si>
    <t>000 1 11 070 00 0000 120</t>
  </si>
  <si>
    <t>3.2.1</t>
  </si>
  <si>
    <t>993 1 11 07013 03 0000 120</t>
  </si>
  <si>
    <t>4.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</si>
  <si>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</si>
  <si>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</si>
  <si>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7.1.1.2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</si>
  <si>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</si>
  <si>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</si>
  <si>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</si>
  <si>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</si>
  <si>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000 1 11 02000 00 0000 120</t>
  </si>
  <si>
    <t>Доходы от размещения средств бюджетов</t>
  </si>
  <si>
    <t>966 1 11 02031 03 0000 120</t>
  </si>
  <si>
    <t>Доходы от размещения  временно свободных средств местных бюджетов, расположенным в границах внутригородских муниципальных образований городов федерального значения Москвы и Санкт-Петербурга</t>
  </si>
  <si>
    <t>000 1 11 03000 00 0000 120</t>
  </si>
  <si>
    <t>Проценты, полученные от предоставления бюджетных кредитов внутри страны</t>
  </si>
  <si>
    <t>966 1 11 03030 03 0000 120</t>
  </si>
  <si>
    <t>Проценты, полученные от предоставления бюджетных кредитов внутри страны за счет бюджетов внутригородских муниципальных образований городов федерального значения Москвы и Санкт-Петербурга</t>
  </si>
  <si>
    <t>Исполнение  на 1.09.13</t>
  </si>
  <si>
    <t xml:space="preserve">    Сумма    (тыс. руб.)</t>
  </si>
  <si>
    <t>Сумма   (тыс.руб.)</t>
  </si>
  <si>
    <t xml:space="preserve"> ВЕДОМСТВЕННАЯ СТРУКТУРА</t>
  </si>
  <si>
    <t>Приложение №3</t>
  </si>
  <si>
    <t>Единый налог на вмененный доход для отдельных видов деятельности (папентная система налогообложения)</t>
  </si>
  <si>
    <t>Резервные фонды</t>
  </si>
  <si>
    <t xml:space="preserve">Иные закупки товаров, работ и услуг для обеспечения государственных (муниципальных) нужд
</t>
  </si>
  <si>
    <t>1.1.2.2</t>
  </si>
  <si>
    <t>1.1.2.2.1</t>
  </si>
  <si>
    <t>9.1.2.1</t>
  </si>
  <si>
    <t xml:space="preserve">Другие вопросы в области культуры, кинематографии
</t>
  </si>
  <si>
    <t>6.2.1</t>
  </si>
  <si>
    <t xml:space="preserve">Функционирование высшего должностного лица субъекта Российской Федерации и муниципального образования
</t>
  </si>
  <si>
    <t>Национальная экономика</t>
  </si>
  <si>
    <t>0400</t>
  </si>
  <si>
    <t>НАЛОГОВЫЕ И НЕНАЛОГОВЫЕ ДОХОДЫ</t>
  </si>
  <si>
    <t>Платежи от государственных и муниципальных предприятий</t>
  </si>
  <si>
    <t>БЕЗВОЗМЕЗДНЫЕ ПОСТУПЛЕНИЯ ОТДРУГИХ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</si>
  <si>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</si>
  <si>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СУБЪЕКТОВ РОССИЙСКОЙ ФЕДЕРАЦИИ И МУНИЦИПАЛЬНЫХ ОБРАЗОВАНИЙ </t>
  </si>
  <si>
    <t>7.2</t>
  </si>
  <si>
    <t>7.2.1.2</t>
  </si>
  <si>
    <t>Благоустройство</t>
  </si>
  <si>
    <t>4.1.2.1.1</t>
  </si>
  <si>
    <t>4.1.2.2</t>
  </si>
  <si>
    <t>4.1.2.2.1</t>
  </si>
  <si>
    <t>4.1.3.1.1</t>
  </si>
  <si>
    <t>4.1.3.2</t>
  </si>
  <si>
    <t>4.1.3.2.1</t>
  </si>
  <si>
    <t>0705</t>
  </si>
  <si>
    <t xml:space="preserve">Профессиональная подготовка, переподготовка и повышение квалификации
</t>
  </si>
  <si>
    <t>5.2.</t>
  </si>
  <si>
    <t>5.2.1</t>
  </si>
  <si>
    <t>5.2.1.1</t>
  </si>
  <si>
    <t>100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</si>
  <si>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</si>
  <si>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</si>
  <si>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государственных (муниципальных) органов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</si>
  <si>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</si>
  <si>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</si>
  <si>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</si>
  <si>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 xml:space="preserve">Закупка товаров, работ и услуг для государственных (муниципальных) нужд
</t>
  </si>
  <si>
    <t>1.1.1.1.1</t>
  </si>
  <si>
    <t>1.1.2.1.1</t>
  </si>
  <si>
    <t>1.1.3.1</t>
  </si>
  <si>
    <t>800</t>
  </si>
  <si>
    <t xml:space="preserve">Иные бюджетные ассигнования
</t>
  </si>
  <si>
    <t>850</t>
  </si>
  <si>
    <t xml:space="preserve">Уплата налогов, сборов и иных платежей
</t>
  </si>
  <si>
    <t>300</t>
  </si>
  <si>
    <t>310</t>
  </si>
  <si>
    <t xml:space="preserve">Социальное обеспечение и иные выплаты населению
</t>
  </si>
  <si>
    <t xml:space="preserve">Публичные нормативные социальные выплаты гражданам
</t>
  </si>
  <si>
    <t>1.2.1.1.1</t>
  </si>
  <si>
    <t>1.1.3.1.1</t>
  </si>
  <si>
    <t>1.3.1.1.1</t>
  </si>
  <si>
    <t>2.1.1.1.1</t>
  </si>
  <si>
    <t>3.1.1.1.1</t>
  </si>
  <si>
    <t>4.1.2.1.1.1</t>
  </si>
  <si>
    <t>4.1.2.2.1.1</t>
  </si>
  <si>
    <t>4.1.3.1.1.1</t>
  </si>
  <si>
    <t>4.1.3.2.1.1</t>
  </si>
  <si>
    <t>5.1.1.1.1</t>
  </si>
  <si>
    <t>5.2.1.1.1</t>
  </si>
  <si>
    <t>6.2.1.1.1</t>
  </si>
  <si>
    <t>7.2.1.1.1</t>
  </si>
  <si>
    <t>8.1.1.1.1</t>
  </si>
  <si>
    <t>9.1.1.1.1</t>
  </si>
  <si>
    <t>9.1.2.1.1</t>
  </si>
  <si>
    <t>1 квартал (тыс. руб)</t>
  </si>
  <si>
    <t>2 квартал (тыс. руб)</t>
  </si>
  <si>
    <t>3 квартал (тыс. руб)</t>
  </si>
  <si>
    <t>4 квартал (тыс. руб)</t>
  </si>
  <si>
    <t>на 01.01.2014</t>
  </si>
  <si>
    <t>2.1.2</t>
  </si>
  <si>
    <t>2.1.2.1</t>
  </si>
  <si>
    <t>2.1.2.1.1</t>
  </si>
  <si>
    <t>ДОХОДЫ</t>
  </si>
  <si>
    <t xml:space="preserve">ДОХОДЫ ОТ ОКАЗАНИЯ ПЛАТНЫХ УСЛУГ (РАБОТ) И КОМПЕНСАЦИИ ЗАТРАТ ГОСУДАРСТВА
</t>
  </si>
  <si>
    <t>000 1 13 02000 00 0000 130</t>
  </si>
  <si>
    <t xml:space="preserve">Доходы от компенсации затрат государства
</t>
  </si>
  <si>
    <t xml:space="preserve">000 1 13 02993 03 0000 130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</si>
  <si>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</si>
  <si>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000 1 13 02993 03 0100 130 </t>
  </si>
  <si>
    <t>к Решению Муниципального Совета МО пос. Лисий Нос</t>
  </si>
  <si>
    <t>№      от      2015 г.</t>
  </si>
  <si>
    <t xml:space="preserve"> МЕСТНОГО БЮДЖЕТА МУНИЦИПАЛЬНОГО ОБРАЗОВАНИЯ ПОСЕЛОК ЛИСИЙ НОС НА 2016 ГОД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</si>
  <si>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</si>
  <si>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</si>
  <si>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</si>
  <si>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4.2</t>
  </si>
  <si>
    <t>4.2.1</t>
  </si>
  <si>
    <t>4.2.1.1</t>
  </si>
  <si>
    <t>4.2.1.2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</si>
  <si>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</si>
  <si>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Финансовое обеспеченности деятельности муниципальных казенных учреждений, а также осуществление закупок товаров, работ, услуг для обеспечения муниципальных нужд.</t>
  </si>
  <si>
    <t>Содержание муниципальной информационной службы</t>
  </si>
  <si>
    <t>Муниципальная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пос. Лисий Нос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</si>
  <si>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 физкультурно-оздоровиткльных мероприятий и спортивных мероприятий МО пос. Лисий Нос</t>
  </si>
  <si>
    <t>0401</t>
  </si>
  <si>
    <t>810</t>
  </si>
  <si>
    <t xml:space="preserve">Иные бюджетные ассигнования
</t>
  </si>
  <si>
    <t xml:space="preserve">Общеэкономические вопросы
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</si>
  <si>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</si>
  <si>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терририторий от черезвычайных ситуаций , а так же содействие в  информировании населения об угрозе возникновения или о возникновении черезвычайной ситуации.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</si>
  <si>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</si>
  <si>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</si>
  <si>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Благоустройство придомовых территорий и дворовых территорий</t>
  </si>
  <si>
    <t>Проведение санитарных рубок , удаление аварийных,больных деревьев и кустарников</t>
  </si>
  <si>
    <t>Создание зон отдыха. Обустройство, содержание и уборка детских площадок</t>
  </si>
  <si>
    <t xml:space="preserve">Обустройство, содержание и уборка спортивных площадок </t>
  </si>
  <si>
    <t>Муниципальная  программа по участию в реализации мер по профилактике  дорожно-транспортного травматизма на территории муниципального образования</t>
  </si>
  <si>
    <t xml:space="preserve">Организация и проведение местных и участие в организации и проведении городских  праздничных и иных зрелищных мероприятий, организация и проведение мероприятий по сохранению и развитию местных традиций и обрядов </t>
  </si>
  <si>
    <t>Организация и проведение досуговых мероприятий для жителей МО пос. Лисий Нос</t>
  </si>
  <si>
    <t>1.3.1.</t>
  </si>
  <si>
    <t>1.3.2</t>
  </si>
  <si>
    <t>1.3.2.1</t>
  </si>
  <si>
    <t>1.3.2.1.1</t>
  </si>
  <si>
    <t>1.3.3.1</t>
  </si>
  <si>
    <t>1.3.3.1.1</t>
  </si>
  <si>
    <t>1.3.4</t>
  </si>
  <si>
    <t>1.3.4.1</t>
  </si>
  <si>
    <t>1.3.4.1.1</t>
  </si>
  <si>
    <t>1.3.5</t>
  </si>
  <si>
    <t>1.3.5.1</t>
  </si>
  <si>
    <t>1.3.5.1.1</t>
  </si>
  <si>
    <t>4.1.2.3</t>
  </si>
  <si>
    <t>4.1.2.3.1</t>
  </si>
  <si>
    <t>4.1.2.3.1.1</t>
  </si>
  <si>
    <t>4.1.4</t>
  </si>
  <si>
    <t>4.1.4.1</t>
  </si>
  <si>
    <t>4.1.4.1.1</t>
  </si>
  <si>
    <t>4.1.4.1.1.1</t>
  </si>
  <si>
    <t>4.1.4.2</t>
  </si>
  <si>
    <t>4.1.4.2.1</t>
  </si>
  <si>
    <t>4.1.4.2.1.1</t>
  </si>
  <si>
    <t>4.1.4.3</t>
  </si>
  <si>
    <t>4.1.4.3.1</t>
  </si>
  <si>
    <t>4.1.4.3.1.1</t>
  </si>
  <si>
    <t>6.1.1.1.1</t>
  </si>
  <si>
    <t>1.2.1.2</t>
  </si>
  <si>
    <t>Проведение конференций граждан (собраний делегатов), опросов граждан по инициативе органов местного самоуправления, публичных слушаний и собраний граждан</t>
  </si>
  <si>
    <t>1.3.7</t>
  </si>
  <si>
    <t>1.3.7.1</t>
  </si>
  <si>
    <t>1.3.7.1.1</t>
  </si>
  <si>
    <t>3.3</t>
  </si>
  <si>
    <t>3.2.1.1</t>
  </si>
  <si>
    <t>3.2.1.1.1</t>
  </si>
  <si>
    <t>3.3.1</t>
  </si>
  <si>
    <t>3.3.1.1</t>
  </si>
  <si>
    <t>3.3.1.1.1</t>
  </si>
  <si>
    <t>0412</t>
  </si>
  <si>
    <t xml:space="preserve">Другие вопросы в области национальной экономики
</t>
  </si>
  <si>
    <t>Содействие развитию малого бизнеса на территории МО пос. Лисий Нос</t>
  </si>
  <si>
    <t>1.3.3</t>
  </si>
  <si>
    <t>Муниципальная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</si>
  <si>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1.1.2.3</t>
  </si>
  <si>
    <t>1.1.2.3.1</t>
  </si>
  <si>
    <t xml:space="preserve">Уплата налогов, сборов и иных платежей
</t>
  </si>
  <si>
    <t>1.3.8</t>
  </si>
  <si>
    <t>1.3.8.1</t>
  </si>
  <si>
    <t>1.3.8.1.1</t>
  </si>
  <si>
    <t>Организация учета зеленых насаждений внутриквартального озеленения на территории МО пос. Лисий Нос</t>
  </si>
  <si>
    <t xml:space="preserve">07000 0006 0 </t>
  </si>
  <si>
    <t>00200 0001 0</t>
  </si>
  <si>
    <t>00200 0002 0</t>
  </si>
  <si>
    <t>00200 0003 0</t>
  </si>
  <si>
    <t>09000 0029 0</t>
  </si>
  <si>
    <t>33000 0007 0</t>
  </si>
  <si>
    <t>09200 0007 2</t>
  </si>
  <si>
    <t>79500 0053 0</t>
  </si>
  <si>
    <t>09200 0044 0</t>
  </si>
  <si>
    <t>79500 0052 0</t>
  </si>
  <si>
    <t>79500 0054 0</t>
  </si>
  <si>
    <t>09200 0046 0</t>
  </si>
  <si>
    <t>21900 0008 0</t>
  </si>
  <si>
    <t>21900 0009 0</t>
  </si>
  <si>
    <t>31500 0011 0</t>
  </si>
  <si>
    <t>34500 0012 0</t>
  </si>
  <si>
    <t>60000 0013 0</t>
  </si>
  <si>
    <t>60000 0013 1</t>
  </si>
  <si>
    <t>60000 0014 0</t>
  </si>
  <si>
    <t>60000 0014 1</t>
  </si>
  <si>
    <t>60000 0014 2</t>
  </si>
  <si>
    <t>60000 0014 3</t>
  </si>
  <si>
    <t>60000 0015 1</t>
  </si>
  <si>
    <t>60000 0015 2</t>
  </si>
  <si>
    <t>60000 0015 5</t>
  </si>
  <si>
    <t>60000 0015 0</t>
  </si>
  <si>
    <t>60000 0016 1</t>
  </si>
  <si>
    <t>60000 0016 2</t>
  </si>
  <si>
    <t>60000 0016 3</t>
  </si>
  <si>
    <t>60000 0016 0</t>
  </si>
  <si>
    <t>42800 0018 0</t>
  </si>
  <si>
    <t>45000 0020 1</t>
  </si>
  <si>
    <t>45000 0020 2</t>
  </si>
  <si>
    <t>50500 0023 0</t>
  </si>
  <si>
    <t>51200 0024 0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</si>
  <si>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мероприятий,физкультурно-оздоровительных мероприятий и спортивных мероприятий МО пос. Лисий Нос</t>
  </si>
  <si>
    <t>45700 0025 1</t>
  </si>
  <si>
    <t>45700 0025 2</t>
  </si>
  <si>
    <t>Периодические издания, учрежденные органами местного самоуправления</t>
  </si>
  <si>
    <t>00200 0002 1</t>
  </si>
  <si>
    <t>00200 0002 2</t>
  </si>
  <si>
    <t>00200 0003 1</t>
  </si>
  <si>
    <t>00200 0003 2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</si>
  <si>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</si>
  <si>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Глава местной администрации (исполнительно-распорядительного органа) муниципального образования</t>
  </si>
  <si>
    <t>Содержание и обеспечение деятельности представительного органа муниципального образования</t>
  </si>
  <si>
    <t>1.2.1.1.1.1</t>
  </si>
  <si>
    <t>1.2.1.1.2</t>
  </si>
  <si>
    <t>1.2.1.1.2.1</t>
  </si>
  <si>
    <t>1.2.1.2.1</t>
  </si>
  <si>
    <t>1.2.1.2.1.1</t>
  </si>
  <si>
    <t>79500 0049 0</t>
  </si>
  <si>
    <t>Сумма               (тыс. руб.)</t>
  </si>
  <si>
    <t xml:space="preserve"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Санкт-Петербурга;
</t>
  </si>
  <si>
    <t xml:space="preserve">09200 G0100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</si>
  <si>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Санкт-Петербурга;</t>
  </si>
  <si>
    <t xml:space="preserve">00200 G0850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</si>
  <si>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Санкт-Петербурга;</t>
  </si>
  <si>
    <t>51100 G0860</t>
  </si>
  <si>
    <t xml:space="preserve">Молодежная политика </t>
  </si>
  <si>
    <t>Молодежная политика</t>
  </si>
  <si>
    <t>Приложение № 4</t>
  </si>
  <si>
    <t>1.3.9</t>
  </si>
  <si>
    <t>1.3.9.1</t>
  </si>
  <si>
    <t>1.3.9.1.1</t>
  </si>
  <si>
    <t xml:space="preserve"> 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экстемизма на территории МО пос. Лисий Нос</t>
  </si>
  <si>
    <t>Муниципальная программа по участию в деятельности профилактике правонарушений в Санкт-Петербурге</t>
  </si>
  <si>
    <t>79500 0055 0</t>
  </si>
  <si>
    <t xml:space="preserve">Временное трудоустройство несовершеннолетних в возрасте от 14 до 18 лет в свободное от учебы время                           
</t>
  </si>
  <si>
    <t>Организация дополнительных парковочных мест на дворовых территориях.</t>
  </si>
  <si>
    <t>1.3.10</t>
  </si>
  <si>
    <t>1.3.10.1</t>
  </si>
  <si>
    <t>1.3.10.1.1</t>
  </si>
  <si>
    <t>Расходы на осуществление защиты прав потребителей</t>
  </si>
  <si>
    <t>09200 00073</t>
  </si>
  <si>
    <t>Пособия, компенсации и иные социальные выплаты
гражданам, кроме публичных нормативных обязательств</t>
  </si>
  <si>
    <t>50500 0021 0</t>
  </si>
  <si>
    <t>321</t>
  </si>
  <si>
    <t>Социальное обеспечение и иные выплаты населению</t>
  </si>
  <si>
    <t>4.1.1.1.1</t>
  </si>
  <si>
    <t>60000 0013 2</t>
  </si>
  <si>
    <t xml:space="preserve">к проекту решения Муниципального Совета МО пос. Лисий Нос </t>
  </si>
  <si>
    <t>1.2.1.1.3</t>
  </si>
  <si>
    <t>1.2.1.1.3.1</t>
  </si>
  <si>
    <t>Содержание технического персонала местной администрации</t>
  </si>
  <si>
    <t>Заработная плата технического персонала</t>
  </si>
  <si>
    <t>Начисления на оплату труда технического персонала</t>
  </si>
  <si>
    <t>00200 0003 3</t>
  </si>
  <si>
    <t>3.1.2</t>
  </si>
  <si>
    <t>3.1.2.1</t>
  </si>
  <si>
    <t>3.1.2.1.1</t>
  </si>
  <si>
    <t>Проведение оплачиваемых общественных работ</t>
  </si>
  <si>
    <t>51010 0010 0</t>
  </si>
  <si>
    <t>51020 0020 0</t>
  </si>
  <si>
    <t>2.2.1</t>
  </si>
  <si>
    <t>2.2</t>
  </si>
  <si>
    <t>2.1.1.2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</si>
  <si>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</si>
  <si>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</si>
  <si>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</si>
  <si>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</si>
  <si>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 xml:space="preserve">860 1 16 90030 03 0100 140 </t>
  </si>
  <si>
    <t xml:space="preserve">806 1 16 90030 03 0100 140 </t>
  </si>
  <si>
    <t>4.1.1.1.0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</si>
  <si>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</si>
  <si>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867 1 13 02993 03 0100 130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</si>
  <si>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</si>
  <si>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3.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</si>
  <si>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</t>
  </si>
  <si>
    <t>2.1.1.1.0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</si>
  <si>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 от продажи права на заключение договоров аренды указанных земельных участков</t>
  </si>
  <si>
    <t xml:space="preserve">Единый налог на вмененный доход для отдельных видов деятельности </t>
  </si>
  <si>
    <t>Минимальный налог, зачисляемый в бюджеты субъектов Российской Федерации (за налоговые периоды, истекшие до 01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</si>
  <si>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</si>
  <si>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к Проекту решения Муниципального Совета МО пос. Лисий Нос </t>
  </si>
  <si>
    <t>Приложение № 1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</si>
  <si>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территорий муниципального образования</t>
  </si>
  <si>
    <t>60000 0013 3</t>
  </si>
  <si>
    <t>Проведение работ по военно-патриотическому воспитанию граждан</t>
  </si>
  <si>
    <t>43100 0019 0</t>
  </si>
  <si>
    <t>5.2.2</t>
  </si>
  <si>
    <t>5.2.2.1</t>
  </si>
  <si>
    <t>5.2.2.1.1</t>
  </si>
  <si>
    <t>Обеспечение проведения выборов и референдумов</t>
  </si>
  <si>
    <t>991</t>
  </si>
  <si>
    <t>0107</t>
  </si>
  <si>
    <t>Проведение муниципальных выборов</t>
  </si>
  <si>
    <t>Проведение выборов в представтельные органы местного самоуправления</t>
  </si>
  <si>
    <t>02001 0001 0</t>
  </si>
  <si>
    <t>III</t>
  </si>
  <si>
    <t xml:space="preserve"> МЕСТНОГО БЮДЖЕТА МУНИЦИПАЛЬНОГО ОБРАЗОВАНИЯ ПОСЕЛОК ЛИСИЙ НОС НА 2019 ГОД</t>
  </si>
  <si>
    <t xml:space="preserve"> РАСПРЕДЕЛЕНИЕ БЮДЖЕТНЫХ АССИГНОВАНИЙ ПО РАЗДЕЛАМ И ПОДРАЗДЕЛАМ  МЕСТНОГО БЮДЖЕТА МУНИЦИПАЛЬНОГО ОБРАЗОВАНИЯ ПОСЕЛОК ЛИСИЙ НОС НА 2019 год</t>
  </si>
  <si>
    <t xml:space="preserve"> РАСПРЕДЕЛЕНИЕ БЮДЖЕТНЫХ АССИГНОВАНИЙ ПО РАЗДЕЛАМ, ПОДРАЗДЕЛАМ, ЦЕЛЕВЫМ СТАТЬЯМ, ГРУППАМ, ПОДГРУППАМ ВИДОВ РАСХОДОВ МЕСТНОГО БЮДЖЕТА МУНИЦИПАЛЬНОГО ОБРАЗОВАНИЯ ПОСЕЛОК ЛИСИЙ НОС НА 2019 год</t>
  </si>
  <si>
    <t xml:space="preserve"> РАСХОДОВ МЕСТНОГО БЮДЖЕТА МУНИЦИПАЛЬНОГО ОБРАЗОВАНИЯ ПОСЕЛОК ЛИСИЙ НОС НА 2019 год</t>
  </si>
  <si>
    <t>7.1.1.1.1</t>
  </si>
  <si>
    <t>1.1.5</t>
  </si>
  <si>
    <t>1.1.5.1</t>
  </si>
  <si>
    <t>1.1.5.1.1</t>
  </si>
  <si>
    <t>1.1.5.1.1.1</t>
  </si>
  <si>
    <t>1.1.5.1.1.2</t>
  </si>
  <si>
    <t>1.1.5.1.1.3</t>
  </si>
  <si>
    <t>Главный распорядитель бюджетных средств-Избирателная комиссия муниципального образования поселок Лисий Нос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</si>
  <si>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</si>
  <si>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000 2 02 30000 00 0000 150</t>
  </si>
  <si>
    <t>000 2 02 30024 00 0000 150</t>
  </si>
  <si>
    <t>000 2 02 00000 00 0000 150</t>
  </si>
  <si>
    <t>000 2 02 10000 00 0000 150</t>
  </si>
  <si>
    <t>993 2 02 15001 03 0000 150</t>
  </si>
  <si>
    <t xml:space="preserve">993 2 02 30024 03 0000 150 </t>
  </si>
  <si>
    <t xml:space="preserve">993 2 02 30024 03 0100 150 </t>
  </si>
  <si>
    <t xml:space="preserve">993 2 02 30024 03 0200 150 </t>
  </si>
  <si>
    <t xml:space="preserve">000 2 02 30027 00 0000 150 </t>
  </si>
  <si>
    <t xml:space="preserve">993 2 02 30027 03 0100 150 </t>
  </si>
  <si>
    <t>4.1.4.4</t>
  </si>
  <si>
    <t>4.1.4.4.1</t>
  </si>
  <si>
    <t>4.1.4.4.1.1</t>
  </si>
  <si>
    <t>Размещение и содержание наружной информации в части указателей, информационных щитов и стендов</t>
  </si>
  <si>
    <t>60000 0016 4</t>
  </si>
  <si>
    <t>Уборка тупиков и проездов</t>
  </si>
  <si>
    <t>880</t>
  </si>
  <si>
    <t>Иниые бюджетные ассигнования</t>
  </si>
  <si>
    <t>Специаьные расходы</t>
  </si>
  <si>
    <t>Прочие дотации бюджетам внутригородских муниципальных образований городов федерального значения</t>
  </si>
  <si>
    <t>993 2 02 19999 03 0000 150</t>
  </si>
  <si>
    <t>Исполнение судебных актов</t>
  </si>
  <si>
    <t>830</t>
  </si>
  <si>
    <t>1.1.2.3.2</t>
  </si>
  <si>
    <t>1.3.11</t>
  </si>
  <si>
    <t>1.3.11.1</t>
  </si>
  <si>
    <t>1.3.11.1.1</t>
  </si>
  <si>
    <t>Всего источников финансирования дефицита бюджета</t>
  </si>
  <si>
    <t>Итого по источникам внутреннего финансирования дефицита бюджета</t>
  </si>
  <si>
    <t xml:space="preserve">Уменьшение прочих остатков  денежных  средств бюджетов   внутригородских муниципальных образований   городов федерального значения  </t>
  </si>
  <si>
    <t>993 01 05 02 01 03 0000 610</t>
  </si>
  <si>
    <t>Уменьшение  прочих остатков денежных  средств бюджетов</t>
  </si>
  <si>
    <t>000  01 05 02 01 00 0000 610</t>
  </si>
  <si>
    <t>Уменьшение 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</si>
  <si>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</si>
  <si>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</si>
  <si>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</si>
  <si>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 xml:space="preserve">Увеличение прочих остатков  денежных средств бюджетов  внутригородских муниципальных образований городов федерального значения  </t>
  </si>
  <si>
    <t>993 01 05 02 01 03 0000 510</t>
  </si>
  <si>
    <t>Увеличение прочих остатков денежных  средств бюджетов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</si>
  <si>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</si>
  <si>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</si>
  <si>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</si>
  <si>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</si>
  <si>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</si>
  <si>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 на счетах по учету средств бюджетов</t>
  </si>
  <si>
    <t xml:space="preserve">000 01 05 00 00 00 0000 000 </t>
  </si>
  <si>
    <t>1.Источники внутреннего финансирования дефицита бюджета</t>
  </si>
  <si>
    <t xml:space="preserve"> Сумма </t>
  </si>
  <si>
    <t>Наименование</t>
  </si>
  <si>
    <t>Код</t>
  </si>
  <si>
    <t>(тыс.руб.)</t>
  </si>
  <si>
    <t>на 2019 год</t>
  </si>
  <si>
    <t xml:space="preserve">образования пос. Лисий Нос  </t>
  </si>
  <si>
    <t xml:space="preserve">Источники финансирования дефицита местного бюджета муниципального </t>
  </si>
  <si>
    <t xml:space="preserve">                         Приложение № 5</t>
  </si>
</sst>
</file>

<file path=xl/styles.xml><?xml version="1.0" encoding="utf-8"?>
<styleSheet xmlns="http://schemas.openxmlformats.org/spreadsheetml/2006/main">
  <numFmts count="6">
    <numFmt numFmtId="42" formatCode="_-* #,##0&quot;р.&quot;_-;\-* #,##0&quot;р.&quot;_-;_-* &quot;-&quot;&quot;р.&quot;_-;_-@_-"/>
    <numFmt numFmtId="164" formatCode="0.0"/>
    <numFmt numFmtId="165" formatCode="#,##0.0"/>
    <numFmt numFmtId="166" formatCode="#,##0&quot;р.&quot;"/>
    <numFmt numFmtId="167" formatCode="#,##0.00&quot;р.&quot;"/>
    <numFmt numFmtId="168" formatCode="0.0%"/>
  </numFmts>
  <fonts count="33">
    <font>
      <sz val="10"/>
      <name val="MS Sans Serif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sz val="14"/>
      <name val="MS Sans Serif"/>
      <family val="2"/>
      <charset val="204"/>
    </font>
    <font>
      <sz val="12"/>
      <name val="MS Sans Serif"/>
      <family val="2"/>
      <charset val="204"/>
    </font>
    <font>
      <b/>
      <sz val="12"/>
      <name val="MS Sans Serif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MS Sans Serif"/>
      <family val="2"/>
      <charset val="204"/>
    </font>
    <font>
      <b/>
      <sz val="10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</borders>
  <cellStyleXfs count="9">
    <xf numFmtId="0" fontId="0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6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17" fillId="0" borderId="0"/>
    <xf numFmtId="0" fontId="10" fillId="0" borderId="0"/>
    <xf numFmtId="0" fontId="14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628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164" fontId="7" fillId="0" borderId="0" xfId="0" applyNumberFormat="1" applyFont="1" applyFill="1" applyBorder="1" applyAlignment="1" applyProtection="1">
      <alignment horizontal="center" vertical="top"/>
    </xf>
    <xf numFmtId="0" fontId="10" fillId="0" borderId="0" xfId="5"/>
    <xf numFmtId="167" fontId="10" fillId="0" borderId="0" xfId="5" applyNumberFormat="1" applyFont="1" applyFill="1" applyBorder="1" applyAlignment="1" applyProtection="1">
      <alignment horizontal="right" vertical="top"/>
    </xf>
    <xf numFmtId="0" fontId="10" fillId="0" borderId="0" xfId="5" applyNumberFormat="1" applyFont="1" applyFill="1" applyBorder="1" applyAlignment="1" applyProtection="1">
      <alignment vertical="top"/>
    </xf>
    <xf numFmtId="9" fontId="10" fillId="0" borderId="0" xfId="5" applyNumberFormat="1" applyFont="1" applyFill="1" applyBorder="1" applyAlignment="1" applyProtection="1">
      <alignment vertical="top"/>
    </xf>
    <xf numFmtId="42" fontId="10" fillId="0" borderId="0" xfId="5" applyNumberFormat="1" applyFont="1" applyFill="1" applyBorder="1" applyAlignment="1" applyProtection="1">
      <alignment horizontal="right" vertical="top"/>
    </xf>
    <xf numFmtId="167" fontId="10" fillId="0" borderId="0" xfId="5" applyNumberFormat="1"/>
    <xf numFmtId="4" fontId="10" fillId="0" borderId="0" xfId="5" applyNumberFormat="1" applyFont="1" applyFill="1" applyBorder="1" applyAlignment="1" applyProtection="1">
      <alignment vertical="top"/>
    </xf>
    <xf numFmtId="167" fontId="11" fillId="0" borderId="0" xfId="5" applyNumberFormat="1" applyFont="1"/>
    <xf numFmtId="167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horizontal="center" vertical="top"/>
    </xf>
    <xf numFmtId="9" fontId="10" fillId="0" borderId="7" xfId="5" applyNumberFormat="1" applyFont="1" applyFill="1" applyBorder="1" applyAlignment="1" applyProtection="1">
      <alignment vertical="top"/>
    </xf>
    <xf numFmtId="42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vertical="top"/>
    </xf>
    <xf numFmtId="4" fontId="12" fillId="0" borderId="7" xfId="5" applyNumberFormat="1" applyFont="1" applyFill="1" applyBorder="1" applyAlignment="1" applyProtection="1">
      <alignment vertical="top"/>
    </xf>
    <xf numFmtId="0" fontId="10" fillId="0" borderId="7" xfId="5" applyNumberFormat="1" applyFill="1" applyBorder="1" applyAlignment="1" applyProtection="1">
      <alignment vertical="top"/>
    </xf>
    <xf numFmtId="4" fontId="12" fillId="0" borderId="0" xfId="5" applyNumberFormat="1" applyFont="1" applyFill="1" applyBorder="1" applyAlignment="1" applyProtection="1">
      <alignment vertical="top"/>
    </xf>
    <xf numFmtId="167" fontId="10" fillId="0" borderId="3" xfId="5" applyNumberFormat="1" applyFont="1" applyFill="1" applyBorder="1" applyAlignment="1" applyProtection="1">
      <alignment horizontal="right" vertical="top"/>
    </xf>
    <xf numFmtId="0" fontId="13" fillId="0" borderId="7" xfId="5" applyNumberFormat="1" applyFont="1" applyFill="1" applyBorder="1" applyAlignment="1" applyProtection="1">
      <alignment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10" fillId="0" borderId="0" xfId="5" applyNumberFormat="1" applyFill="1" applyBorder="1" applyAlignment="1" applyProtection="1">
      <alignment vertical="top"/>
    </xf>
    <xf numFmtId="166" fontId="10" fillId="0" borderId="7" xfId="5" applyNumberFormat="1" applyFont="1" applyFill="1" applyBorder="1" applyAlignment="1" applyProtection="1">
      <alignment vertical="top"/>
    </xf>
    <xf numFmtId="42" fontId="12" fillId="0" borderId="7" xfId="5" applyNumberFormat="1" applyFont="1" applyFill="1" applyBorder="1" applyAlignment="1" applyProtection="1">
      <alignment horizontal="right" vertical="top"/>
    </xf>
    <xf numFmtId="9" fontId="10" fillId="0" borderId="7" xfId="5" applyNumberFormat="1" applyFont="1" applyFill="1" applyBorder="1" applyAlignment="1" applyProtection="1">
      <alignment horizontal="center" vertical="top"/>
    </xf>
    <xf numFmtId="9" fontId="10" fillId="0" borderId="0" xfId="5" applyNumberFormat="1" applyFont="1" applyFill="1" applyBorder="1" applyAlignment="1" applyProtection="1">
      <alignment horizontal="center" vertical="top"/>
    </xf>
    <xf numFmtId="167" fontId="8" fillId="0" borderId="17" xfId="5" applyNumberFormat="1" applyFont="1" applyFill="1" applyBorder="1" applyAlignment="1" applyProtection="1">
      <alignment horizontal="right" vertical="top"/>
    </xf>
    <xf numFmtId="0" fontId="10" fillId="0" borderId="9" xfId="5" applyNumberFormat="1" applyFont="1" applyFill="1" applyBorder="1" applyAlignment="1" applyProtection="1">
      <alignment horizontal="center" vertical="top"/>
    </xf>
    <xf numFmtId="9" fontId="10" fillId="0" borderId="9" xfId="5" applyNumberFormat="1" applyFont="1" applyFill="1" applyBorder="1" applyAlignment="1" applyProtection="1">
      <alignment horizontal="center" vertical="top"/>
    </xf>
    <xf numFmtId="168" fontId="10" fillId="0" borderId="9" xfId="5" applyNumberFormat="1" applyFill="1" applyBorder="1" applyAlignment="1" applyProtection="1">
      <alignment horizontal="right" vertical="top"/>
    </xf>
    <xf numFmtId="3" fontId="10" fillId="0" borderId="9" xfId="5" applyNumberFormat="1" applyFont="1" applyFill="1" applyBorder="1" applyAlignment="1" applyProtection="1">
      <alignment horizontal="center" vertical="top"/>
    </xf>
    <xf numFmtId="0" fontId="10" fillId="0" borderId="9" xfId="5" applyNumberFormat="1" applyFill="1" applyBorder="1" applyAlignment="1" applyProtection="1">
      <alignment horizontal="center" vertical="top"/>
    </xf>
    <xf numFmtId="0" fontId="10" fillId="0" borderId="9" xfId="5" applyNumberFormat="1" applyFill="1" applyBorder="1" applyAlignment="1" applyProtection="1">
      <alignment vertical="top"/>
    </xf>
    <xf numFmtId="0" fontId="10" fillId="0" borderId="13" xfId="5" applyNumberFormat="1" applyFont="1" applyFill="1" applyBorder="1" applyAlignment="1" applyProtection="1">
      <alignment horizontal="center" vertical="top"/>
    </xf>
    <xf numFmtId="9" fontId="10" fillId="0" borderId="13" xfId="5" applyNumberFormat="1" applyFont="1" applyFill="1" applyBorder="1" applyAlignment="1" applyProtection="1">
      <alignment horizontal="center" vertical="top"/>
    </xf>
    <xf numFmtId="42" fontId="10" fillId="0" borderId="13" xfId="5" applyNumberFormat="1" applyFont="1" applyFill="1" applyBorder="1" applyAlignment="1" applyProtection="1">
      <alignment horizontal="right" vertical="top"/>
    </xf>
    <xf numFmtId="3" fontId="10" fillId="0" borderId="13" xfId="5" applyNumberFormat="1" applyFont="1" applyFill="1" applyBorder="1" applyAlignment="1" applyProtection="1">
      <alignment horizontal="center" vertical="top"/>
    </xf>
    <xf numFmtId="0" fontId="10" fillId="0" borderId="13" xfId="5" applyNumberFormat="1" applyFill="1" applyBorder="1" applyAlignment="1" applyProtection="1">
      <alignment vertical="top"/>
    </xf>
    <xf numFmtId="167" fontId="13" fillId="0" borderId="16" xfId="5" applyNumberFormat="1" applyFont="1" applyFill="1" applyBorder="1" applyAlignment="1" applyProtection="1">
      <alignment horizontal="right" vertical="top"/>
    </xf>
    <xf numFmtId="42" fontId="13" fillId="0" borderId="7" xfId="5" applyNumberFormat="1" applyFont="1" applyFill="1" applyBorder="1" applyAlignment="1" applyProtection="1">
      <alignment horizontal="right" vertical="top"/>
    </xf>
    <xf numFmtId="0" fontId="13" fillId="0" borderId="13" xfId="5" applyNumberFormat="1" applyFont="1" applyFill="1" applyBorder="1" applyAlignment="1" applyProtection="1">
      <alignment horizontal="center" vertical="top"/>
    </xf>
    <xf numFmtId="167" fontId="10" fillId="0" borderId="16" xfId="5" applyNumberFormat="1" applyFont="1" applyFill="1" applyBorder="1" applyAlignment="1" applyProtection="1">
      <alignment horizontal="right" vertical="top"/>
    </xf>
    <xf numFmtId="9" fontId="13" fillId="0" borderId="13" xfId="5" applyNumberFormat="1" applyFont="1" applyFill="1" applyBorder="1" applyAlignment="1" applyProtection="1">
      <alignment horizontal="center" vertical="top"/>
    </xf>
    <xf numFmtId="3" fontId="10" fillId="0" borderId="7" xfId="5" applyNumberFormat="1" applyFont="1" applyFill="1" applyBorder="1" applyAlignment="1" applyProtection="1">
      <alignment horizontal="center" vertical="top"/>
    </xf>
    <xf numFmtId="167" fontId="8" fillId="0" borderId="16" xfId="5" applyNumberFormat="1" applyFont="1" applyFill="1" applyBorder="1" applyAlignment="1" applyProtection="1">
      <alignment horizontal="right" vertical="top"/>
    </xf>
    <xf numFmtId="168" fontId="10" fillId="0" borderId="7" xfId="5" applyNumberFormat="1" applyFill="1" applyBorder="1" applyAlignment="1" applyProtection="1">
      <alignment horizontal="right" vertical="top"/>
    </xf>
    <xf numFmtId="0" fontId="10" fillId="0" borderId="7" xfId="5" applyNumberFormat="1" applyFill="1" applyBorder="1" applyAlignment="1" applyProtection="1">
      <alignment horizontal="center" vertical="top"/>
    </xf>
    <xf numFmtId="167" fontId="10" fillId="0" borderId="18" xfId="5" applyNumberFormat="1" applyFont="1" applyFill="1" applyBorder="1" applyAlignment="1" applyProtection="1">
      <alignment horizontal="right" vertical="top"/>
    </xf>
    <xf numFmtId="0" fontId="10" fillId="0" borderId="5" xfId="5" applyNumberFormat="1" applyFont="1" applyFill="1" applyBorder="1" applyAlignment="1" applyProtection="1">
      <alignment horizontal="center" vertical="top"/>
    </xf>
    <xf numFmtId="9" fontId="10" fillId="0" borderId="5" xfId="5" applyNumberFormat="1" applyFont="1" applyFill="1" applyBorder="1" applyAlignment="1" applyProtection="1">
      <alignment horizontal="center" vertical="top"/>
    </xf>
    <xf numFmtId="42" fontId="10" fillId="0" borderId="5" xfId="5" applyNumberFormat="1" applyFont="1" applyFill="1" applyBorder="1" applyAlignment="1" applyProtection="1">
      <alignment horizontal="right" vertical="top"/>
    </xf>
    <xf numFmtId="0" fontId="10" fillId="0" borderId="5" xfId="5" applyNumberFormat="1" applyFill="1" applyBorder="1" applyAlignment="1" applyProtection="1">
      <alignment horizontal="center" vertical="top"/>
    </xf>
    <xf numFmtId="167" fontId="10" fillId="0" borderId="19" xfId="5" applyNumberFormat="1" applyFill="1" applyBorder="1" applyAlignment="1" applyProtection="1">
      <alignment horizontal="center" vertical="top"/>
    </xf>
    <xf numFmtId="0" fontId="13" fillId="0" borderId="2" xfId="5" applyNumberFormat="1" applyFont="1" applyFill="1" applyBorder="1" applyAlignment="1" applyProtection="1">
      <alignment horizontal="center" vertical="top"/>
    </xf>
    <xf numFmtId="9" fontId="13" fillId="0" borderId="2" xfId="5" applyNumberFormat="1" applyFont="1" applyFill="1" applyBorder="1" applyAlignment="1" applyProtection="1">
      <alignment horizontal="center" vertical="top"/>
    </xf>
    <xf numFmtId="42" fontId="10" fillId="0" borderId="2" xfId="5" applyNumberFormat="1" applyFill="1" applyBorder="1" applyAlignment="1" applyProtection="1">
      <alignment horizontal="center" vertical="top"/>
    </xf>
    <xf numFmtId="0" fontId="10" fillId="0" borderId="2" xfId="5" applyNumberFormat="1" applyFill="1" applyBorder="1" applyAlignment="1" applyProtection="1">
      <alignment horizontal="center" vertical="top"/>
    </xf>
    <xf numFmtId="4" fontId="10" fillId="0" borderId="0" xfId="5" applyNumberFormat="1" applyFont="1" applyFill="1" applyBorder="1" applyAlignment="1" applyProtection="1">
      <alignment horizontal="center" vertical="top"/>
    </xf>
    <xf numFmtId="0" fontId="13" fillId="0" borderId="9" xfId="5" applyNumberFormat="1" applyFont="1" applyFill="1" applyBorder="1" applyAlignment="1" applyProtection="1">
      <alignment vertical="top"/>
    </xf>
    <xf numFmtId="0" fontId="13" fillId="0" borderId="7" xfId="5" applyNumberFormat="1" applyFont="1" applyFill="1" applyBorder="1" applyAlignment="1" applyProtection="1">
      <alignment horizontal="center" vertical="top"/>
    </xf>
    <xf numFmtId="0" fontId="13" fillId="0" borderId="5" xfId="5" applyNumberFormat="1" applyFont="1" applyFill="1" applyBorder="1" applyAlignment="1" applyProtection="1">
      <alignment horizontal="center" vertical="top"/>
    </xf>
    <xf numFmtId="167" fontId="10" fillId="0" borderId="19" xfId="5" applyNumberFormat="1" applyFill="1" applyBorder="1" applyAlignment="1" applyProtection="1">
      <alignment horizontal="center" vertical="center"/>
    </xf>
    <xf numFmtId="0" fontId="10" fillId="0" borderId="2" xfId="5" applyNumberFormat="1" applyFill="1" applyBorder="1" applyAlignment="1" applyProtection="1">
      <alignment horizontal="center" vertical="center"/>
    </xf>
    <xf numFmtId="9" fontId="13" fillId="0" borderId="2" xfId="5" applyNumberFormat="1" applyFont="1" applyFill="1" applyBorder="1" applyAlignment="1" applyProtection="1">
      <alignment horizontal="center" vertical="center"/>
    </xf>
    <xf numFmtId="42" fontId="10" fillId="0" borderId="2" xfId="5" applyNumberFormat="1" applyFill="1" applyBorder="1" applyAlignment="1" applyProtection="1">
      <alignment horizontal="center" vertical="center"/>
    </xf>
    <xf numFmtId="0" fontId="10" fillId="0" borderId="0" xfId="5" applyNumberFormat="1" applyFill="1" applyBorder="1" applyAlignment="1" applyProtection="1">
      <alignment horizontal="center" vertical="top"/>
    </xf>
    <xf numFmtId="42" fontId="13" fillId="0" borderId="13" xfId="5" applyNumberFormat="1" applyFont="1" applyFill="1" applyBorder="1" applyAlignment="1" applyProtection="1">
      <alignment horizontal="right" vertical="top"/>
    </xf>
    <xf numFmtId="167" fontId="13" fillId="0" borderId="20" xfId="5" applyNumberFormat="1" applyFont="1" applyFill="1" applyBorder="1" applyAlignment="1" applyProtection="1">
      <alignment horizontal="right" vertical="top"/>
    </xf>
    <xf numFmtId="3" fontId="10" fillId="0" borderId="5" xfId="5" applyNumberFormat="1" applyFont="1" applyFill="1" applyBorder="1" applyAlignment="1" applyProtection="1">
      <alignment horizontal="center" vertical="top"/>
    </xf>
    <xf numFmtId="167" fontId="15" fillId="0" borderId="17" xfId="5" applyNumberFormat="1" applyFont="1" applyFill="1" applyBorder="1" applyAlignment="1" applyProtection="1">
      <alignment horizontal="right" vertical="top"/>
    </xf>
    <xf numFmtId="0" fontId="10" fillId="0" borderId="15" xfId="5" applyNumberFormat="1" applyFill="1" applyBorder="1" applyAlignment="1" applyProtection="1">
      <alignment vertical="top"/>
    </xf>
    <xf numFmtId="0" fontId="13" fillId="0" borderId="15" xfId="5" applyNumberFormat="1" applyFont="1" applyFill="1" applyBorder="1" applyAlignment="1" applyProtection="1">
      <alignment horizontal="center" vertical="top"/>
    </xf>
    <xf numFmtId="3" fontId="10" fillId="0" borderId="15" xfId="5" applyNumberFormat="1" applyFont="1" applyFill="1" applyBorder="1" applyAlignment="1" applyProtection="1">
      <alignment horizontal="center" vertical="top"/>
    </xf>
    <xf numFmtId="42" fontId="13" fillId="0" borderId="15" xfId="5" applyNumberFormat="1" applyFont="1" applyFill="1" applyBorder="1" applyAlignment="1" applyProtection="1">
      <alignment horizontal="right" vertical="top"/>
    </xf>
    <xf numFmtId="9" fontId="10" fillId="0" borderId="15" xfId="5" applyNumberFormat="1" applyFont="1" applyFill="1" applyBorder="1" applyAlignment="1" applyProtection="1">
      <alignment horizontal="center" vertical="top"/>
    </xf>
    <xf numFmtId="0" fontId="10" fillId="0" borderId="15" xfId="5" applyNumberFormat="1" applyFont="1" applyFill="1" applyBorder="1" applyAlignment="1" applyProtection="1">
      <alignment horizontal="center" vertical="top"/>
    </xf>
    <xf numFmtId="167" fontId="13" fillId="0" borderId="21" xfId="5" applyNumberFormat="1" applyFont="1" applyFill="1" applyBorder="1" applyAlignment="1" applyProtection="1">
      <alignment horizontal="right" vertical="top"/>
    </xf>
    <xf numFmtId="167" fontId="10" fillId="0" borderId="17" xfId="5" applyNumberFormat="1" applyFont="1" applyFill="1" applyBorder="1" applyAlignment="1" applyProtection="1">
      <alignment horizontal="right" vertical="top"/>
    </xf>
    <xf numFmtId="0" fontId="10" fillId="0" borderId="15" xfId="5" applyNumberFormat="1" applyFill="1" applyBorder="1" applyAlignment="1" applyProtection="1">
      <alignment horizontal="center" vertical="top"/>
    </xf>
    <xf numFmtId="168" fontId="10" fillId="0" borderId="15" xfId="5" applyNumberFormat="1" applyFill="1" applyBorder="1" applyAlignment="1" applyProtection="1">
      <alignment horizontal="right" vertical="top"/>
    </xf>
    <xf numFmtId="167" fontId="15" fillId="0" borderId="21" xfId="5" applyNumberFormat="1" applyFont="1" applyFill="1" applyBorder="1" applyAlignment="1" applyProtection="1">
      <alignment horizontal="right" vertical="top"/>
    </xf>
    <xf numFmtId="168" fontId="10" fillId="0" borderId="9" xfId="5" applyNumberFormat="1" applyFont="1" applyFill="1" applyBorder="1" applyAlignment="1" applyProtection="1">
      <alignment horizontal="right" vertical="top"/>
    </xf>
    <xf numFmtId="0" fontId="11" fillId="0" borderId="15" xfId="5" applyNumberFormat="1" applyFont="1" applyFill="1" applyBorder="1" applyAlignment="1" applyProtection="1">
      <alignment vertical="top"/>
    </xf>
    <xf numFmtId="0" fontId="11" fillId="0" borderId="15" xfId="5" applyNumberFormat="1" applyFont="1" applyFill="1" applyBorder="1" applyAlignment="1" applyProtection="1">
      <alignment horizontal="center" vertical="top"/>
    </xf>
    <xf numFmtId="3" fontId="11" fillId="0" borderId="15" xfId="5" applyNumberFormat="1" applyFont="1" applyFill="1" applyBorder="1" applyAlignment="1" applyProtection="1">
      <alignment horizontal="center" vertical="top"/>
    </xf>
    <xf numFmtId="42" fontId="11" fillId="0" borderId="15" xfId="5" applyNumberFormat="1" applyFont="1" applyFill="1" applyBorder="1" applyAlignment="1" applyProtection="1">
      <alignment horizontal="right" vertical="top"/>
    </xf>
    <xf numFmtId="9" fontId="11" fillId="0" borderId="15" xfId="5" applyNumberFormat="1" applyFont="1" applyFill="1" applyBorder="1" applyAlignment="1" applyProtection="1">
      <alignment horizontal="center" vertical="top"/>
    </xf>
    <xf numFmtId="167" fontId="11" fillId="0" borderId="21" xfId="5" applyNumberFormat="1" applyFont="1" applyFill="1" applyBorder="1" applyAlignment="1" applyProtection="1">
      <alignment horizontal="right" vertical="top"/>
    </xf>
    <xf numFmtId="0" fontId="11" fillId="0" borderId="7" xfId="5" applyNumberFormat="1" applyFont="1" applyFill="1" applyBorder="1" applyAlignment="1" applyProtection="1">
      <alignment vertical="top"/>
    </xf>
    <xf numFmtId="0" fontId="11" fillId="0" borderId="7" xfId="5" applyNumberFormat="1" applyFont="1" applyFill="1" applyBorder="1" applyAlignment="1" applyProtection="1">
      <alignment horizontal="center" vertical="top"/>
    </xf>
    <xf numFmtId="3" fontId="11" fillId="0" borderId="7" xfId="5" applyNumberFormat="1" applyFont="1" applyFill="1" applyBorder="1" applyAlignment="1" applyProtection="1">
      <alignment horizontal="center" vertical="top"/>
    </xf>
    <xf numFmtId="42" fontId="11" fillId="0" borderId="7" xfId="5" applyNumberFormat="1" applyFont="1" applyFill="1" applyBorder="1" applyAlignment="1" applyProtection="1">
      <alignment horizontal="right" vertical="top"/>
    </xf>
    <xf numFmtId="9" fontId="11" fillId="0" borderId="7" xfId="5" applyNumberFormat="1" applyFont="1" applyFill="1" applyBorder="1" applyAlignment="1" applyProtection="1">
      <alignment horizontal="center" vertical="top"/>
    </xf>
    <xf numFmtId="167" fontId="11" fillId="0" borderId="7" xfId="5" applyNumberFormat="1" applyFont="1" applyFill="1" applyBorder="1" applyAlignment="1" applyProtection="1">
      <alignment horizontal="right" vertical="top"/>
    </xf>
    <xf numFmtId="4" fontId="12" fillId="6" borderId="7" xfId="5" applyNumberFormat="1" applyFont="1" applyFill="1" applyBorder="1" applyAlignment="1" applyProtection="1">
      <alignment vertical="top"/>
    </xf>
    <xf numFmtId="165" fontId="18" fillId="0" borderId="7" xfId="3" applyNumberFormat="1" applyFont="1" applyFill="1" applyBorder="1" applyAlignment="1" applyProtection="1">
      <alignment horizontal="center" vertical="center"/>
    </xf>
    <xf numFmtId="0" fontId="19" fillId="0" borderId="5" xfId="3" applyNumberFormat="1" applyFont="1" applyFill="1" applyBorder="1" applyAlignment="1" applyProtection="1">
      <alignment horizontal="center" vertical="center"/>
    </xf>
    <xf numFmtId="164" fontId="18" fillId="0" borderId="6" xfId="3" applyNumberFormat="1" applyFont="1" applyFill="1" applyBorder="1" applyAlignment="1" applyProtection="1">
      <alignment horizontal="center" vertical="center"/>
    </xf>
    <xf numFmtId="0" fontId="18" fillId="0" borderId="37" xfId="3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 applyFill="1" applyBorder="1" applyAlignment="1" applyProtection="1">
      <alignment vertical="top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7" fillId="0" borderId="28" xfId="3" applyNumberFormat="1" applyFont="1" applyFill="1" applyBorder="1" applyAlignment="1" applyProtection="1">
      <alignment horizontal="center" vertical="center"/>
    </xf>
    <xf numFmtId="165" fontId="18" fillId="0" borderId="18" xfId="3" applyNumberFormat="1" applyFont="1" applyFill="1" applyBorder="1" applyAlignment="1" applyProtection="1">
      <alignment horizontal="center" vertical="center"/>
    </xf>
    <xf numFmtId="0" fontId="1" fillId="0" borderId="30" xfId="0" applyNumberFormat="1" applyFont="1" applyFill="1" applyBorder="1" applyAlignment="1" applyProtection="1">
      <alignment horizontal="center" vertical="top"/>
    </xf>
    <xf numFmtId="0" fontId="1" fillId="0" borderId="10" xfId="0" applyNumberFormat="1" applyFont="1" applyFill="1" applyBorder="1" applyAlignment="1" applyProtection="1">
      <alignment horizontal="center" vertical="top"/>
    </xf>
    <xf numFmtId="165" fontId="18" fillId="0" borderId="9" xfId="3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top"/>
    </xf>
    <xf numFmtId="2" fontId="0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4" fillId="0" borderId="41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right" vertical="top"/>
    </xf>
    <xf numFmtId="0" fontId="23" fillId="0" borderId="0" xfId="0" applyNumberFormat="1" applyFont="1" applyFill="1" applyBorder="1" applyAlignment="1" applyProtection="1">
      <alignment vertical="top"/>
    </xf>
    <xf numFmtId="0" fontId="20" fillId="0" borderId="0" xfId="2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/>
    </xf>
    <xf numFmtId="164" fontId="21" fillId="0" borderId="7" xfId="3" applyNumberFormat="1" applyFont="1" applyFill="1" applyBorder="1" applyAlignment="1" applyProtection="1">
      <alignment horizontal="center" vertical="center" wrapText="1"/>
    </xf>
    <xf numFmtId="164" fontId="24" fillId="0" borderId="27" xfId="3" applyNumberFormat="1" applyFont="1" applyFill="1" applyBorder="1" applyAlignment="1" applyProtection="1">
      <alignment horizontal="center" vertical="center" wrapText="1"/>
    </xf>
    <xf numFmtId="164" fontId="24" fillId="0" borderId="29" xfId="3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0" fontId="21" fillId="9" borderId="7" xfId="3" applyNumberFormat="1" applyFont="1" applyFill="1" applyBorder="1" applyAlignment="1" applyProtection="1">
      <alignment horizontal="center" vertical="center"/>
    </xf>
    <xf numFmtId="3" fontId="21" fillId="9" borderId="7" xfId="3" applyNumberFormat="1" applyFont="1" applyFill="1" applyBorder="1" applyAlignment="1" applyProtection="1">
      <alignment horizontal="center" vertical="center"/>
    </xf>
    <xf numFmtId="0" fontId="21" fillId="9" borderId="7" xfId="3" applyNumberFormat="1" applyFont="1" applyFill="1" applyBorder="1" applyAlignment="1" applyProtection="1">
      <alignment horizontal="left" vertical="center"/>
    </xf>
    <xf numFmtId="164" fontId="21" fillId="9" borderId="7" xfId="3" applyNumberFormat="1" applyFont="1" applyFill="1" applyBorder="1" applyAlignment="1" applyProtection="1">
      <alignment horizontal="center" vertical="center"/>
    </xf>
    <xf numFmtId="165" fontId="21" fillId="9" borderId="7" xfId="3" applyNumberFormat="1" applyFont="1" applyFill="1" applyBorder="1" applyAlignment="1" applyProtection="1">
      <alignment horizontal="center" vertical="center"/>
    </xf>
    <xf numFmtId="164" fontId="22" fillId="9" borderId="27" xfId="3" applyNumberFormat="1" applyFont="1" applyFill="1" applyBorder="1" applyAlignment="1" applyProtection="1">
      <alignment horizontal="center" vertical="center"/>
    </xf>
    <xf numFmtId="164" fontId="22" fillId="9" borderId="29" xfId="3" applyNumberFormat="1" applyFont="1" applyFill="1" applyBorder="1" applyAlignment="1" applyProtection="1">
      <alignment horizontal="center" vertical="center"/>
    </xf>
    <xf numFmtId="165" fontId="21" fillId="9" borderId="7" xfId="0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/>
    </xf>
    <xf numFmtId="3" fontId="21" fillId="7" borderId="7" xfId="3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 wrapText="1"/>
    </xf>
    <xf numFmtId="164" fontId="21" fillId="7" borderId="7" xfId="3" applyNumberFormat="1" applyFont="1" applyFill="1" applyBorder="1" applyAlignment="1" applyProtection="1">
      <alignment horizontal="center" vertical="center"/>
    </xf>
    <xf numFmtId="165" fontId="21" fillId="7" borderId="7" xfId="3" applyNumberFormat="1" applyFont="1" applyFill="1" applyBorder="1" applyAlignment="1" applyProtection="1">
      <alignment horizontal="center" vertical="center"/>
    </xf>
    <xf numFmtId="164" fontId="22" fillId="7" borderId="25" xfId="3" applyNumberFormat="1" applyFont="1" applyFill="1" applyBorder="1" applyAlignment="1" applyProtection="1">
      <alignment horizontal="center" vertical="center"/>
    </xf>
    <xf numFmtId="164" fontId="22" fillId="7" borderId="42" xfId="3" applyNumberFormat="1" applyFont="1" applyFill="1" applyBorder="1" applyAlignment="1" applyProtection="1">
      <alignment horizontal="center" vertical="center"/>
    </xf>
    <xf numFmtId="165" fontId="21" fillId="7" borderId="7" xfId="0" applyNumberFormat="1" applyFont="1" applyFill="1" applyBorder="1" applyAlignment="1" applyProtection="1">
      <alignment horizontal="center" vertical="center"/>
    </xf>
    <xf numFmtId="49" fontId="20" fillId="0" borderId="7" xfId="3" applyNumberFormat="1" applyFont="1" applyFill="1" applyBorder="1" applyAlignment="1" applyProtection="1">
      <alignment horizontal="left" vertical="center"/>
    </xf>
    <xf numFmtId="3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 wrapText="1"/>
    </xf>
    <xf numFmtId="164" fontId="20" fillId="0" borderId="7" xfId="3" applyNumberFormat="1" applyFont="1" applyFill="1" applyBorder="1" applyAlignment="1" applyProtection="1">
      <alignment horizontal="center" vertical="center"/>
    </xf>
    <xf numFmtId="165" fontId="20" fillId="0" borderId="7" xfId="3" applyNumberFormat="1" applyFont="1" applyFill="1" applyBorder="1" applyAlignment="1" applyProtection="1">
      <alignment horizontal="center" vertical="center"/>
    </xf>
    <xf numFmtId="164" fontId="20" fillId="0" borderId="38" xfId="3" applyNumberFormat="1" applyFont="1" applyFill="1" applyBorder="1" applyAlignment="1" applyProtection="1">
      <alignment horizontal="center" vertical="center"/>
    </xf>
    <xf numFmtId="164" fontId="20" fillId="0" borderId="37" xfId="3" applyNumberFormat="1" applyFont="1" applyFill="1" applyBorder="1" applyAlignment="1" applyProtection="1">
      <alignment horizontal="center" vertical="center"/>
    </xf>
    <xf numFmtId="165" fontId="20" fillId="0" borderId="7" xfId="0" applyNumberFormat="1" applyFont="1" applyFill="1" applyBorder="1" applyAlignment="1" applyProtection="1">
      <alignment horizontal="center" vertical="center"/>
    </xf>
    <xf numFmtId="164" fontId="20" fillId="0" borderId="32" xfId="3" applyNumberFormat="1" applyFont="1" applyFill="1" applyBorder="1" applyAlignment="1" applyProtection="1">
      <alignment horizontal="center" vertical="center"/>
    </xf>
    <xf numFmtId="164" fontId="20" fillId="0" borderId="22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center"/>
    </xf>
    <xf numFmtId="165" fontId="21" fillId="0" borderId="7" xfId="0" applyNumberFormat="1" applyFont="1" applyFill="1" applyBorder="1" applyAlignment="1" applyProtection="1">
      <alignment horizontal="center" vertical="center"/>
    </xf>
    <xf numFmtId="164" fontId="22" fillId="7" borderId="27" xfId="3" applyNumberFormat="1" applyFont="1" applyFill="1" applyBorder="1" applyAlignment="1" applyProtection="1">
      <alignment horizontal="center" vertical="center"/>
    </xf>
    <xf numFmtId="164" fontId="22" fillId="7" borderId="26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/>
    </xf>
    <xf numFmtId="165" fontId="20" fillId="7" borderId="7" xfId="0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/>
    </xf>
    <xf numFmtId="0" fontId="20" fillId="8" borderId="7" xfId="3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 wrapText="1"/>
    </xf>
    <xf numFmtId="0" fontId="20" fillId="0" borderId="7" xfId="3" applyNumberFormat="1" applyFont="1" applyFill="1" applyBorder="1" applyAlignment="1" applyProtection="1">
      <alignment horizontal="center" vertical="center"/>
    </xf>
    <xf numFmtId="164" fontId="21" fillId="2" borderId="7" xfId="3" applyNumberFormat="1" applyFont="1" applyFill="1" applyBorder="1" applyAlignment="1" applyProtection="1">
      <alignment horizontal="center" vertical="center"/>
    </xf>
    <xf numFmtId="164" fontId="20" fillId="5" borderId="7" xfId="3" applyNumberFormat="1" applyFont="1" applyFill="1" applyBorder="1" applyAlignment="1" applyProtection="1">
      <alignment horizontal="center" vertical="center"/>
    </xf>
    <xf numFmtId="164" fontId="21" fillId="7" borderId="23" xfId="3" applyNumberFormat="1" applyFont="1" applyFill="1" applyBorder="1" applyAlignment="1" applyProtection="1">
      <alignment horizontal="center" vertical="center"/>
    </xf>
    <xf numFmtId="164" fontId="21" fillId="7" borderId="24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/>
    </xf>
    <xf numFmtId="3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 wrapText="1"/>
    </xf>
    <xf numFmtId="49" fontId="20" fillId="5" borderId="7" xfId="3" applyNumberFormat="1" applyFont="1" applyFill="1" applyBorder="1" applyAlignment="1" applyProtection="1">
      <alignment horizontal="left" vertical="center"/>
    </xf>
    <xf numFmtId="0" fontId="20" fillId="5" borderId="7" xfId="3" applyNumberFormat="1" applyFont="1" applyFill="1" applyBorder="1" applyAlignment="1" applyProtection="1">
      <alignment horizontal="center" vertical="center"/>
    </xf>
    <xf numFmtId="0" fontId="20" fillId="5" borderId="7" xfId="3" applyNumberFormat="1" applyFont="1" applyFill="1" applyBorder="1" applyAlignment="1" applyProtection="1">
      <alignment horizontal="left" vertical="center" wrapText="1"/>
    </xf>
    <xf numFmtId="0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vertical="center" wrapText="1"/>
    </xf>
    <xf numFmtId="165" fontId="21" fillId="2" borderId="7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/>
    </xf>
    <xf numFmtId="49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vertical="center" wrapText="1"/>
    </xf>
    <xf numFmtId="0" fontId="20" fillId="0" borderId="7" xfId="3" applyNumberFormat="1" applyFont="1" applyFill="1" applyBorder="1" applyAlignment="1" applyProtection="1">
      <alignment vertical="top" wrapText="1"/>
    </xf>
    <xf numFmtId="164" fontId="21" fillId="0" borderId="7" xfId="3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164" fontId="20" fillId="7" borderId="7" xfId="3" applyNumberFormat="1" applyFont="1" applyFill="1" applyBorder="1" applyAlignment="1" applyProtection="1">
      <alignment horizontal="center" vertical="center"/>
    </xf>
    <xf numFmtId="164" fontId="21" fillId="7" borderId="27" xfId="3" applyNumberFormat="1" applyFont="1" applyFill="1" applyBorder="1" applyAlignment="1" applyProtection="1">
      <alignment horizontal="center" vertical="center"/>
    </xf>
    <xf numFmtId="164" fontId="21" fillId="7" borderId="26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top" wrapText="1"/>
    </xf>
    <xf numFmtId="164" fontId="21" fillId="4" borderId="7" xfId="3" applyNumberFormat="1" applyFont="1" applyFill="1" applyBorder="1" applyAlignment="1" applyProtection="1">
      <alignment horizontal="center" vertical="center"/>
    </xf>
    <xf numFmtId="164" fontId="20" fillId="0" borderId="31" xfId="3" applyNumberFormat="1" applyFont="1" applyFill="1" applyBorder="1" applyAlignment="1" applyProtection="1">
      <alignment horizontal="center" vertical="center"/>
    </xf>
    <xf numFmtId="164" fontId="20" fillId="0" borderId="23" xfId="3" applyNumberFormat="1" applyFont="1" applyFill="1" applyBorder="1" applyAlignment="1" applyProtection="1">
      <alignment horizontal="center" vertical="center"/>
    </xf>
    <xf numFmtId="164" fontId="20" fillId="0" borderId="24" xfId="3" applyNumberFormat="1" applyFont="1" applyFill="1" applyBorder="1" applyAlignment="1" applyProtection="1">
      <alignment horizontal="center" vertical="center"/>
    </xf>
    <xf numFmtId="164" fontId="20" fillId="9" borderId="7" xfId="3" applyNumberFormat="1" applyFont="1" applyFill="1" applyBorder="1" applyAlignment="1" applyProtection="1">
      <alignment horizontal="center" vertical="center"/>
    </xf>
    <xf numFmtId="164" fontId="21" fillId="9" borderId="27" xfId="3" applyNumberFormat="1" applyFont="1" applyFill="1" applyBorder="1" applyAlignment="1" applyProtection="1">
      <alignment horizontal="center" vertical="center"/>
    </xf>
    <xf numFmtId="164" fontId="21" fillId="9" borderId="26" xfId="3" applyNumberFormat="1" applyFont="1" applyFill="1" applyBorder="1" applyAlignment="1" applyProtection="1">
      <alignment horizontal="center" vertical="center"/>
    </xf>
    <xf numFmtId="164" fontId="21" fillId="7" borderId="25" xfId="3" applyNumberFormat="1" applyFont="1" applyFill="1" applyBorder="1" applyAlignment="1" applyProtection="1">
      <alignment horizontal="center" vertical="center"/>
    </xf>
    <xf numFmtId="164" fontId="21" fillId="7" borderId="43" xfId="3" applyNumberFormat="1" applyFont="1" applyFill="1" applyBorder="1" applyAlignment="1" applyProtection="1">
      <alignment horizontal="center" vertical="center"/>
    </xf>
    <xf numFmtId="164" fontId="21" fillId="0" borderId="31" xfId="3" applyNumberFormat="1" applyFont="1" applyFill="1" applyBorder="1" applyAlignment="1" applyProtection="1">
      <alignment horizontal="center" vertical="center"/>
    </xf>
    <xf numFmtId="164" fontId="21" fillId="0" borderId="37" xfId="3" applyNumberFormat="1" applyFont="1" applyFill="1" applyBorder="1" applyAlignment="1" applyProtection="1">
      <alignment horizontal="center" vertical="center"/>
    </xf>
    <xf numFmtId="164" fontId="21" fillId="0" borderId="23" xfId="3" applyNumberFormat="1" applyFont="1" applyFill="1" applyBorder="1" applyAlignment="1" applyProtection="1">
      <alignment horizontal="center" vertical="center"/>
    </xf>
    <xf numFmtId="164" fontId="21" fillId="0" borderId="24" xfId="3" applyNumberFormat="1" applyFont="1" applyFill="1" applyBorder="1" applyAlignment="1" applyProtection="1">
      <alignment horizontal="center" vertical="center"/>
    </xf>
    <xf numFmtId="164" fontId="20" fillId="2" borderId="7" xfId="3" applyNumberFormat="1" applyFont="1" applyFill="1" applyBorder="1" applyAlignment="1" applyProtection="1">
      <alignment horizontal="center" vertical="center"/>
    </xf>
    <xf numFmtId="164" fontId="20" fillId="0" borderId="36" xfId="3" applyNumberFormat="1" applyFont="1" applyFill="1" applyBorder="1" applyAlignment="1" applyProtection="1">
      <alignment horizontal="center" vertical="center"/>
    </xf>
    <xf numFmtId="164" fontId="20" fillId="0" borderId="33" xfId="3" applyNumberFormat="1" applyFont="1" applyFill="1" applyBorder="1" applyAlignment="1" applyProtection="1">
      <alignment horizontal="center" vertical="center"/>
    </xf>
    <xf numFmtId="49" fontId="21" fillId="0" borderId="7" xfId="3" applyNumberFormat="1" applyFont="1" applyFill="1" applyBorder="1" applyAlignment="1" applyProtection="1">
      <alignment horizontal="left" vertical="center"/>
    </xf>
    <xf numFmtId="3" fontId="21" fillId="0" borderId="7" xfId="3" applyNumberFormat="1" applyFont="1" applyFill="1" applyBorder="1" applyAlignment="1" applyProtection="1">
      <alignment horizontal="center" vertical="center"/>
    </xf>
    <xf numFmtId="0" fontId="21" fillId="0" borderId="7" xfId="3" applyNumberFormat="1" applyFont="1" applyFill="1" applyBorder="1" applyAlignment="1" applyProtection="1">
      <alignment horizontal="left" vertical="center" wrapText="1"/>
    </xf>
    <xf numFmtId="165" fontId="20" fillId="5" borderId="7" xfId="3" applyNumberFormat="1" applyFont="1" applyFill="1" applyBorder="1" applyAlignment="1" applyProtection="1">
      <alignment horizontal="center" vertical="center"/>
    </xf>
    <xf numFmtId="164" fontId="20" fillId="5" borderId="31" xfId="3" applyNumberFormat="1" applyFont="1" applyFill="1" applyBorder="1" applyAlignment="1" applyProtection="1">
      <alignment horizontal="center" vertical="center"/>
    </xf>
    <xf numFmtId="164" fontId="20" fillId="5" borderId="37" xfId="3" applyNumberFormat="1" applyFont="1" applyFill="1" applyBorder="1" applyAlignment="1" applyProtection="1">
      <alignment horizontal="center" vertical="center"/>
    </xf>
    <xf numFmtId="164" fontId="21" fillId="5" borderId="40" xfId="3" applyNumberFormat="1" applyFont="1" applyFill="1" applyBorder="1" applyAlignment="1" applyProtection="1">
      <alignment horizontal="center" vertical="center"/>
    </xf>
    <xf numFmtId="164" fontId="21" fillId="5" borderId="29" xfId="3" applyNumberFormat="1" applyFont="1" applyFill="1" applyBorder="1" applyAlignment="1" applyProtection="1">
      <alignment horizontal="center" vertical="center"/>
    </xf>
    <xf numFmtId="164" fontId="20" fillId="5" borderId="23" xfId="3" applyNumberFormat="1" applyFont="1" applyFill="1" applyBorder="1" applyAlignment="1" applyProtection="1">
      <alignment horizontal="center" vertical="center"/>
    </xf>
    <xf numFmtId="164" fontId="20" fillId="5" borderId="24" xfId="3" applyNumberFormat="1" applyFont="1" applyFill="1" applyBorder="1" applyAlignment="1" applyProtection="1">
      <alignment horizontal="center" vertical="center"/>
    </xf>
    <xf numFmtId="0" fontId="25" fillId="0" borderId="7" xfId="0" applyNumberFormat="1" applyFont="1" applyFill="1" applyBorder="1" applyAlignment="1" applyProtection="1">
      <alignment horizontal="left" vertical="top" wrapText="1"/>
    </xf>
    <xf numFmtId="165" fontId="18" fillId="0" borderId="31" xfId="3" applyNumberFormat="1" applyFont="1" applyFill="1" applyBorder="1" applyAlignment="1" applyProtection="1">
      <alignment horizontal="center" vertical="center"/>
    </xf>
    <xf numFmtId="165" fontId="18" fillId="0" borderId="37" xfId="3" applyNumberFormat="1" applyFont="1" applyFill="1" applyBorder="1" applyAlignment="1" applyProtection="1">
      <alignment horizontal="center" vertical="center"/>
    </xf>
    <xf numFmtId="164" fontId="21" fillId="0" borderId="27" xfId="3" applyNumberFormat="1" applyFont="1" applyFill="1" applyBorder="1" applyAlignment="1" applyProtection="1">
      <alignment horizontal="center" vertical="center"/>
    </xf>
    <xf numFmtId="164" fontId="21" fillId="0" borderId="26" xfId="3" applyNumberFormat="1" applyFont="1" applyFill="1" applyBorder="1" applyAlignment="1" applyProtection="1">
      <alignment horizontal="center" vertical="center"/>
    </xf>
    <xf numFmtId="165" fontId="21" fillId="0" borderId="7" xfId="3" applyNumberFormat="1" applyFont="1" applyFill="1" applyBorder="1" applyAlignment="1" applyProtection="1">
      <alignment horizontal="center" vertical="center"/>
    </xf>
    <xf numFmtId="164" fontId="21" fillId="5" borderId="7" xfId="3" applyNumberFormat="1" applyFont="1" applyFill="1" applyBorder="1" applyAlignment="1" applyProtection="1">
      <alignment horizontal="center" vertical="center"/>
    </xf>
    <xf numFmtId="164" fontId="21" fillId="5" borderId="31" xfId="3" applyNumberFormat="1" applyFont="1" applyFill="1" applyBorder="1" applyAlignment="1" applyProtection="1">
      <alignment horizontal="center" vertical="center"/>
    </xf>
    <xf numFmtId="164" fontId="21" fillId="5" borderId="37" xfId="3" applyNumberFormat="1" applyFont="1" applyFill="1" applyBorder="1" applyAlignment="1" applyProtection="1">
      <alignment horizontal="center" vertical="center"/>
    </xf>
    <xf numFmtId="164" fontId="20" fillId="0" borderId="35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top"/>
    </xf>
    <xf numFmtId="0" fontId="21" fillId="0" borderId="7" xfId="3" applyNumberFormat="1" applyFont="1" applyFill="1" applyBorder="1" applyAlignment="1" applyProtection="1">
      <alignment horizontal="center" vertical="top"/>
    </xf>
    <xf numFmtId="0" fontId="21" fillId="0" borderId="7" xfId="3" applyNumberFormat="1" applyFont="1" applyFill="1" applyBorder="1" applyAlignment="1" applyProtection="1">
      <alignment horizontal="left" vertical="top"/>
    </xf>
    <xf numFmtId="165" fontId="18" fillId="0" borderId="27" xfId="3" applyNumberFormat="1" applyFont="1" applyFill="1" applyBorder="1" applyAlignment="1" applyProtection="1">
      <alignment horizontal="center" vertical="center"/>
    </xf>
    <xf numFmtId="165" fontId="18" fillId="0" borderId="29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vertical="top"/>
      <protection locked="0"/>
    </xf>
    <xf numFmtId="164" fontId="20" fillId="0" borderId="0" xfId="0" applyNumberFormat="1" applyFont="1" applyFill="1" applyBorder="1" applyAlignment="1" applyProtection="1">
      <alignment vertical="top"/>
      <protection locked="0"/>
    </xf>
    <xf numFmtId="0" fontId="21" fillId="0" borderId="0" xfId="0" applyNumberFormat="1" applyFont="1" applyFill="1" applyBorder="1" applyAlignment="1" applyProtection="1">
      <alignment horizontal="right" vertical="top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top"/>
      <protection hidden="1"/>
    </xf>
    <xf numFmtId="0" fontId="20" fillId="0" borderId="0" xfId="0" applyNumberFormat="1" applyFont="1" applyFill="1" applyBorder="1" applyAlignment="1" applyProtection="1">
      <alignment horizontal="left" vertical="top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164" fontId="20" fillId="0" borderId="0" xfId="0" applyNumberFormat="1" applyFont="1" applyFill="1" applyBorder="1" applyAlignment="1" applyProtection="1">
      <alignment vertical="top"/>
      <protection hidden="1"/>
    </xf>
    <xf numFmtId="0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2" xfId="0" applyNumberFormat="1" applyFont="1" applyFill="1" applyBorder="1" applyAlignment="1" applyProtection="1">
      <alignment horizontal="center" vertical="center"/>
      <protection hidden="1"/>
    </xf>
    <xf numFmtId="0" fontId="24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16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35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24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2" applyNumberFormat="1" applyFont="1" applyFill="1" applyBorder="1" applyAlignment="1" applyProtection="1">
      <alignment horizontal="justify" vertical="center" wrapText="1"/>
    </xf>
    <xf numFmtId="49" fontId="29" fillId="0" borderId="7" xfId="0" applyNumberFormat="1" applyFont="1" applyFill="1" applyBorder="1" applyAlignment="1" applyProtection="1">
      <alignment horizontal="center" vertical="center"/>
      <protection hidden="1"/>
    </xf>
    <xf numFmtId="49" fontId="29" fillId="0" borderId="11" xfId="0" applyNumberFormat="1" applyFont="1" applyFill="1" applyBorder="1" applyAlignment="1">
      <alignment vertical="center"/>
    </xf>
    <xf numFmtId="164" fontId="29" fillId="0" borderId="7" xfId="0" applyNumberFormat="1" applyFont="1" applyFill="1" applyBorder="1" applyAlignment="1" applyProtection="1">
      <alignment horizontal="center" vertical="center"/>
      <protection hidden="1"/>
    </xf>
    <xf numFmtId="165" fontId="29" fillId="0" borderId="16" xfId="0" applyNumberFormat="1" applyFont="1" applyFill="1" applyBorder="1" applyAlignment="1" applyProtection="1">
      <alignment horizontal="center" vertical="center"/>
      <protection hidden="1"/>
    </xf>
    <xf numFmtId="49" fontId="29" fillId="0" borderId="11" xfId="0" applyNumberFormat="1" applyFont="1" applyFill="1" applyBorder="1" applyAlignment="1" applyProtection="1">
      <alignment vertical="center" wrapText="1"/>
      <protection hidden="1"/>
    </xf>
    <xf numFmtId="12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39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33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13" xfId="0" applyNumberFormat="1" applyFont="1" applyFill="1" applyBorder="1" applyAlignment="1" applyProtection="1">
      <alignment vertical="center"/>
    </xf>
    <xf numFmtId="164" fontId="29" fillId="0" borderId="18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8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7" xfId="0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164" fontId="29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vertical="center"/>
    </xf>
    <xf numFmtId="49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49" fontId="29" fillId="0" borderId="12" xfId="0" applyNumberFormat="1" applyFont="1" applyFill="1" applyBorder="1" applyAlignment="1" applyProtection="1">
      <alignment vertical="center" wrapText="1"/>
      <protection hidden="1"/>
    </xf>
    <xf numFmtId="12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34" xfId="0" applyNumberFormat="1" applyFont="1" applyFill="1" applyBorder="1" applyAlignment="1" applyProtection="1">
      <alignment horizontal="center" vertical="center"/>
    </xf>
    <xf numFmtId="164" fontId="20" fillId="0" borderId="34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top"/>
    </xf>
    <xf numFmtId="165" fontId="4" fillId="0" borderId="0" xfId="0" applyNumberFormat="1" applyFont="1" applyFill="1" applyBorder="1" applyAlignment="1" applyProtection="1">
      <alignment vertical="center"/>
    </xf>
    <xf numFmtId="165" fontId="0" fillId="0" borderId="0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49" fontId="27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7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7" xfId="0" applyNumberFormat="1" applyFont="1" applyFill="1" applyBorder="1" applyAlignment="1" applyProtection="1">
      <alignment horizontal="left" vertical="center" wrapText="1"/>
      <protection hidden="1"/>
    </xf>
    <xf numFmtId="164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>
      <alignment vertical="center"/>
    </xf>
    <xf numFmtId="0" fontId="28" fillId="0" borderId="7" xfId="0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 applyProtection="1">
      <alignment horizontal="center" vertical="center"/>
      <protection hidden="1"/>
    </xf>
    <xf numFmtId="2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 applyProtection="1">
      <alignment vertical="center" wrapText="1"/>
      <protection hidden="1"/>
    </xf>
    <xf numFmtId="164" fontId="28" fillId="0" borderId="7" xfId="0" applyNumberFormat="1" applyFont="1" applyFill="1" applyBorder="1" applyAlignment="1" applyProtection="1">
      <alignment horizontal="center" vertical="center"/>
      <protection hidden="1"/>
    </xf>
    <xf numFmtId="164" fontId="28" fillId="0" borderId="16" xfId="0" applyNumberFormat="1" applyFont="1" applyFill="1" applyBorder="1" applyAlignment="1" applyProtection="1">
      <alignment horizontal="center" vertical="center"/>
      <protection hidden="1"/>
    </xf>
    <xf numFmtId="165" fontId="28" fillId="0" borderId="16" xfId="0" applyNumberFormat="1" applyFont="1" applyFill="1" applyBorder="1" applyAlignment="1" applyProtection="1">
      <alignment horizontal="center" vertical="center"/>
      <protection hidden="1"/>
    </xf>
    <xf numFmtId="49" fontId="28" fillId="0" borderId="11" xfId="0" applyNumberFormat="1" applyFont="1" applyFill="1" applyBorder="1" applyAlignment="1" applyProtection="1">
      <alignment vertical="center"/>
      <protection hidden="1"/>
    </xf>
    <xf numFmtId="2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0" applyNumberFormat="1" applyFont="1" applyFill="1" applyBorder="1" applyAlignment="1" applyProtection="1">
      <alignment vertical="center"/>
      <protection hidden="1"/>
    </xf>
    <xf numFmtId="49" fontId="29" fillId="0" borderId="7" xfId="0" applyNumberFormat="1" applyFont="1" applyFill="1" applyBorder="1" applyAlignment="1" applyProtection="1">
      <alignment horizontal="left" vertical="top" wrapText="1"/>
      <protection hidden="1"/>
    </xf>
    <xf numFmtId="0" fontId="28" fillId="0" borderId="16" xfId="0" applyFont="1" applyFill="1" applyBorder="1" applyAlignment="1">
      <alignment horizontal="center" vertical="center" wrapText="1"/>
    </xf>
    <xf numFmtId="165" fontId="28" fillId="0" borderId="16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 applyProtection="1">
      <alignment vertical="center" wrapText="1"/>
      <protection hidden="1"/>
    </xf>
    <xf numFmtId="49" fontId="28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19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" xfId="0" applyNumberFormat="1" applyFont="1" applyFill="1" applyBorder="1" applyAlignment="1" applyProtection="1">
      <alignment vertical="center" wrapText="1"/>
      <protection hidden="1"/>
    </xf>
    <xf numFmtId="0" fontId="28" fillId="0" borderId="5" xfId="0" applyFont="1" applyFill="1" applyBorder="1" applyAlignment="1">
      <alignment horizontal="left" vertical="center" wrapText="1"/>
    </xf>
    <xf numFmtId="49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164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" xfId="0" applyNumberFormat="1" applyFont="1" applyFill="1" applyBorder="1" applyAlignment="1" applyProtection="1">
      <alignment horizontal="justify" vertical="center" wrapText="1"/>
      <protection hidden="1"/>
    </xf>
    <xf numFmtId="12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2" xfId="0" applyFont="1" applyFill="1" applyBorder="1" applyAlignment="1">
      <alignment horizontal="left" vertical="center" wrapText="1"/>
    </xf>
    <xf numFmtId="12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13" xfId="0" applyNumberFormat="1" applyFont="1" applyFill="1" applyBorder="1" applyAlignment="1" applyProtection="1">
      <alignment horizontal="center" vertical="center" wrapText="1"/>
      <protection hidden="1"/>
    </xf>
    <xf numFmtId="12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165" fontId="28" fillId="0" borderId="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justify" vertical="center" wrapText="1"/>
      <protection hidden="1"/>
    </xf>
    <xf numFmtId="0" fontId="28" fillId="0" borderId="0" xfId="0" applyNumberFormat="1" applyFont="1" applyFill="1" applyBorder="1" applyAlignment="1" applyProtection="1">
      <alignment horizontal="center" vertical="center"/>
    </xf>
    <xf numFmtId="164" fontId="28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vertical="center"/>
    </xf>
    <xf numFmtId="49" fontId="28" fillId="0" borderId="12" xfId="0" applyNumberFormat="1" applyFont="1" applyFill="1" applyBorder="1" applyAlignment="1" applyProtection="1">
      <alignment vertical="center" wrapText="1"/>
      <protection hidden="1"/>
    </xf>
    <xf numFmtId="49" fontId="28" fillId="0" borderId="13" xfId="0" applyNumberFormat="1" applyFont="1" applyFill="1" applyBorder="1" applyAlignment="1" applyProtection="1">
      <alignment horizontal="justify" vertical="center" wrapText="1"/>
      <protection hidden="1"/>
    </xf>
    <xf numFmtId="164" fontId="28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4" fillId="0" borderId="1" xfId="0" applyNumberFormat="1" applyFont="1" applyFill="1" applyBorder="1" applyAlignment="1" applyProtection="1">
      <alignment horizontal="center" vertical="center"/>
      <protection hidden="1"/>
    </xf>
    <xf numFmtId="49" fontId="24" fillId="0" borderId="2" xfId="0" applyNumberFormat="1" applyFont="1" applyFill="1" applyBorder="1" applyAlignment="1" applyProtection="1">
      <alignment horizontal="left" vertical="center"/>
      <protection hidden="1"/>
    </xf>
    <xf numFmtId="49" fontId="24" fillId="0" borderId="2" xfId="0" applyNumberFormat="1" applyFont="1" applyFill="1" applyBorder="1" applyAlignment="1" applyProtection="1">
      <alignment horizontal="center" vertical="center"/>
      <protection hidden="1"/>
    </xf>
    <xf numFmtId="164" fontId="24" fillId="0" borderId="19" xfId="0" applyNumberFormat="1" applyFont="1" applyFill="1" applyBorder="1" applyAlignment="1" applyProtection="1">
      <alignment horizontal="center" vertical="center"/>
      <protection hidden="1"/>
    </xf>
    <xf numFmtId="165" fontId="24" fillId="0" borderId="19" xfId="0" applyNumberFormat="1" applyFont="1" applyFill="1" applyBorder="1" applyAlignment="1" applyProtection="1">
      <alignment horizontal="center" vertical="center"/>
      <protection hidden="1"/>
    </xf>
    <xf numFmtId="49" fontId="29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7" xfId="0" applyNumberFormat="1" applyFont="1" applyFill="1" applyBorder="1" applyAlignment="1" applyProtection="1">
      <alignment horizontal="left" vertical="center" wrapText="1"/>
      <protection hidden="1"/>
    </xf>
    <xf numFmtId="165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center" vertical="top"/>
    </xf>
    <xf numFmtId="49" fontId="29" fillId="0" borderId="4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4" fillId="0" borderId="7" xfId="0" applyNumberFormat="1" applyFont="1" applyFill="1" applyBorder="1" applyAlignment="1" applyProtection="1">
      <alignment horizontal="center" vertical="center"/>
      <protection hidden="1"/>
    </xf>
    <xf numFmtId="0" fontId="24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center" wrapText="1"/>
      <protection hidden="1"/>
    </xf>
    <xf numFmtId="164" fontId="28" fillId="0" borderId="7" xfId="0" applyNumberFormat="1" applyFont="1" applyFill="1" applyBorder="1" applyAlignment="1" applyProtection="1">
      <alignment horizontal="center" wrapText="1"/>
      <protection hidden="1"/>
    </xf>
    <xf numFmtId="165" fontId="28" fillId="0" borderId="7" xfId="0" applyNumberFormat="1" applyFont="1" applyFill="1" applyBorder="1" applyAlignment="1" applyProtection="1">
      <alignment horizontal="center" wrapText="1"/>
      <protection hidden="1"/>
    </xf>
    <xf numFmtId="49" fontId="29" fillId="0" borderId="7" xfId="0" applyNumberFormat="1" applyFont="1" applyFill="1" applyBorder="1" applyAlignment="1" applyProtection="1">
      <alignment horizontal="center" wrapText="1"/>
      <protection hidden="1"/>
    </xf>
    <xf numFmtId="164" fontId="29" fillId="0" borderId="7" xfId="0" applyNumberFormat="1" applyFont="1" applyFill="1" applyBorder="1" applyAlignment="1" applyProtection="1">
      <alignment horizontal="center" wrapText="1"/>
      <protection hidden="1"/>
    </xf>
    <xf numFmtId="165" fontId="29" fillId="0" borderId="7" xfId="0" applyNumberFormat="1" applyFont="1" applyFill="1" applyBorder="1" applyAlignment="1" applyProtection="1">
      <alignment horizontal="center" wrapText="1"/>
      <protection hidden="1"/>
    </xf>
    <xf numFmtId="2" fontId="29" fillId="0" borderId="7" xfId="0" applyNumberFormat="1" applyFont="1" applyFill="1" applyBorder="1" applyAlignment="1" applyProtection="1">
      <alignment horizontal="center" wrapText="1"/>
      <protection hidden="1"/>
    </xf>
    <xf numFmtId="0" fontId="29" fillId="0" borderId="7" xfId="0" applyNumberFormat="1" applyFont="1" applyFill="1" applyBorder="1" applyAlignment="1" applyProtection="1">
      <alignment horizontal="center"/>
    </xf>
    <xf numFmtId="164" fontId="29" fillId="0" borderId="7" xfId="0" applyNumberFormat="1" applyFont="1" applyFill="1" applyBorder="1" applyAlignment="1" applyProtection="1">
      <alignment horizontal="center"/>
    </xf>
    <xf numFmtId="0" fontId="29" fillId="0" borderId="7" xfId="0" applyNumberFormat="1" applyFont="1" applyFill="1" applyBorder="1" applyAlignment="1" applyProtection="1"/>
    <xf numFmtId="0" fontId="24" fillId="0" borderId="7" xfId="0" applyNumberFormat="1" applyFont="1" applyFill="1" applyBorder="1" applyAlignment="1" applyProtection="1">
      <alignment horizontal="center" wrapText="1"/>
      <protection hidden="1"/>
    </xf>
    <xf numFmtId="164" fontId="24" fillId="0" borderId="7" xfId="0" applyNumberFormat="1" applyFont="1" applyFill="1" applyBorder="1" applyAlignment="1" applyProtection="1">
      <alignment horizontal="center" wrapText="1"/>
      <protection hidden="1"/>
    </xf>
    <xf numFmtId="49" fontId="24" fillId="0" borderId="2" xfId="0" applyNumberFormat="1" applyFont="1" applyFill="1" applyBorder="1" applyAlignment="1" applyProtection="1">
      <alignment horizontal="left"/>
      <protection hidden="1"/>
    </xf>
    <xf numFmtId="49" fontId="24" fillId="0" borderId="2" xfId="0" applyNumberFormat="1" applyFont="1" applyFill="1" applyBorder="1" applyAlignment="1" applyProtection="1">
      <alignment horizontal="center"/>
      <protection hidden="1"/>
    </xf>
    <xf numFmtId="0" fontId="20" fillId="0" borderId="34" xfId="0" applyNumberFormat="1" applyFont="1" applyFill="1" applyBorder="1" applyAlignment="1" applyProtection="1">
      <alignment horizontal="center"/>
    </xf>
    <xf numFmtId="164" fontId="20" fillId="0" borderId="34" xfId="0" applyNumberFormat="1" applyFont="1" applyFill="1" applyBorder="1" applyAlignment="1" applyProtection="1">
      <alignment horizontal="center"/>
    </xf>
    <xf numFmtId="0" fontId="20" fillId="0" borderId="34" xfId="0" applyNumberFormat="1" applyFont="1" applyFill="1" applyBorder="1" applyAlignment="1" applyProtection="1"/>
    <xf numFmtId="164" fontId="24" fillId="0" borderId="19" xfId="0" applyNumberFormat="1" applyFont="1" applyFill="1" applyBorder="1" applyAlignment="1" applyProtection="1">
      <alignment horizontal="center"/>
      <protection hidden="1"/>
    </xf>
    <xf numFmtId="165" fontId="24" fillId="0" borderId="19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top"/>
      <protection locked="0"/>
    </xf>
    <xf numFmtId="0" fontId="20" fillId="0" borderId="0" xfId="2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49" fontId="28" fillId="0" borderId="47" xfId="0" applyNumberFormat="1" applyFont="1" applyFill="1" applyBorder="1" applyAlignment="1" applyProtection="1">
      <alignment vertical="center" wrapText="1"/>
      <protection hidden="1"/>
    </xf>
    <xf numFmtId="49" fontId="28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48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49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4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vertical="center" wrapText="1"/>
      <protection hidden="1"/>
    </xf>
    <xf numFmtId="49" fontId="29" fillId="0" borderId="7" xfId="0" applyNumberFormat="1" applyFont="1" applyFill="1" applyBorder="1" applyAlignment="1" applyProtection="1">
      <alignment vertical="center" wrapText="1"/>
      <protection hidden="1"/>
    </xf>
    <xf numFmtId="164" fontId="29" fillId="0" borderId="21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49" fontId="28" fillId="0" borderId="7" xfId="7" applyNumberFormat="1" applyFont="1" applyFill="1" applyBorder="1" applyAlignment="1" applyProtection="1">
      <alignment horizontal="justify" vertical="center" wrapText="1"/>
    </xf>
    <xf numFmtId="49" fontId="28" fillId="0" borderId="7" xfId="7" applyNumberFormat="1" applyFont="1" applyFill="1" applyBorder="1" applyAlignment="1" applyProtection="1">
      <alignment horizontal="center" vertical="center" wrapText="1"/>
    </xf>
    <xf numFmtId="49" fontId="28" fillId="0" borderId="7" xfId="7" applyNumberFormat="1" applyFont="1" applyFill="1" applyBorder="1" applyAlignment="1" applyProtection="1">
      <alignment horizontal="center" vertical="center"/>
    </xf>
    <xf numFmtId="49" fontId="29" fillId="0" borderId="7" xfId="7" applyNumberFormat="1" applyFont="1" applyFill="1" applyBorder="1" applyAlignment="1" applyProtection="1">
      <alignment horizontal="justify" vertical="center" wrapText="1"/>
    </xf>
    <xf numFmtId="49" fontId="29" fillId="0" borderId="13" xfId="7" applyNumberFormat="1" applyFont="1" applyFill="1" applyBorder="1" applyAlignment="1" applyProtection="1">
      <alignment horizontal="center" vertical="center" wrapText="1"/>
    </xf>
    <xf numFmtId="49" fontId="29" fillId="0" borderId="13" xfId="7" applyNumberFormat="1" applyFont="1" applyFill="1" applyBorder="1" applyAlignment="1" applyProtection="1">
      <alignment horizontal="center" vertical="center"/>
    </xf>
    <xf numFmtId="49" fontId="29" fillId="0" borderId="7" xfId="7" applyNumberFormat="1" applyFont="1" applyFill="1" applyBorder="1" applyAlignment="1" applyProtection="1">
      <alignment horizontal="center" vertical="center"/>
    </xf>
    <xf numFmtId="164" fontId="29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NumberFormat="1" applyFont="1" applyFill="1" applyBorder="1" applyAlignment="1" applyProtection="1">
      <alignment vertical="top"/>
    </xf>
    <xf numFmtId="0" fontId="20" fillId="0" borderId="7" xfId="0" applyNumberFormat="1" applyFont="1" applyFill="1" applyBorder="1" applyAlignment="1" applyProtection="1">
      <alignment horizontal="center" vertical="center"/>
    </xf>
    <xf numFmtId="49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1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52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52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7" xfId="0" applyNumberFormat="1" applyFont="1" applyFill="1" applyBorder="1" applyAlignment="1" applyProtection="1">
      <alignment horizontal="center" vertical="center"/>
    </xf>
    <xf numFmtId="164" fontId="29" fillId="0" borderId="7" xfId="0" applyNumberFormat="1" applyFont="1" applyFill="1" applyBorder="1" applyAlignment="1" applyProtection="1">
      <alignment horizontal="center" vertical="center"/>
    </xf>
    <xf numFmtId="0" fontId="29" fillId="0" borderId="7" xfId="0" applyNumberFormat="1" applyFont="1" applyFill="1" applyBorder="1" applyAlignment="1" applyProtection="1">
      <alignment vertical="center"/>
    </xf>
    <xf numFmtId="49" fontId="28" fillId="3" borderId="7" xfId="0" applyNumberFormat="1" applyFont="1" applyFill="1" applyBorder="1" applyAlignment="1" applyProtection="1">
      <alignment horizontal="left" vertical="center" wrapText="1"/>
      <protection hidden="1"/>
    </xf>
    <xf numFmtId="49" fontId="28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7" applyNumberFormat="1" applyFont="1" applyFill="1" applyBorder="1" applyAlignment="1" applyProtection="1">
      <alignment horizontal="justify" vertical="center"/>
    </xf>
    <xf numFmtId="49" fontId="29" fillId="0" borderId="7" xfId="7" applyNumberFormat="1" applyFont="1" applyFill="1" applyBorder="1" applyAlignment="1" applyProtection="1">
      <alignment horizontal="justify" vertical="top"/>
    </xf>
    <xf numFmtId="165" fontId="29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3" xfId="0" applyNumberFormat="1" applyFont="1" applyFill="1" applyBorder="1" applyAlignment="1" applyProtection="1">
      <alignment vertical="center" wrapText="1"/>
      <protection hidden="1"/>
    </xf>
    <xf numFmtId="49" fontId="29" fillId="0" borderId="51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51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7" applyNumberFormat="1" applyFont="1" applyFill="1" applyBorder="1" applyAlignment="1" applyProtection="1">
      <alignment horizontal="right" vertical="top"/>
      <protection locked="0"/>
    </xf>
    <xf numFmtId="165" fontId="21" fillId="0" borderId="7" xfId="8" applyNumberFormat="1" applyFont="1" applyFill="1" applyBorder="1" applyAlignment="1" applyProtection="1">
      <alignment horizontal="center" vertical="center"/>
    </xf>
    <xf numFmtId="165" fontId="18" fillId="0" borderId="29" xfId="8" applyNumberFormat="1" applyFont="1" applyFill="1" applyBorder="1" applyAlignment="1" applyProtection="1">
      <alignment horizontal="center" vertical="center"/>
    </xf>
    <xf numFmtId="165" fontId="18" fillId="0" borderId="27" xfId="8" applyNumberFormat="1" applyFont="1" applyFill="1" applyBorder="1" applyAlignment="1" applyProtection="1">
      <alignment horizontal="center" vertical="center"/>
    </xf>
    <xf numFmtId="0" fontId="21" fillId="0" borderId="7" xfId="8" applyNumberFormat="1" applyFont="1" applyFill="1" applyBorder="1" applyAlignment="1" applyProtection="1">
      <alignment horizontal="center" vertical="center"/>
    </xf>
    <xf numFmtId="165" fontId="20" fillId="0" borderId="7" xfId="8" applyNumberFormat="1" applyFont="1" applyFill="1" applyBorder="1" applyAlignment="1" applyProtection="1">
      <alignment horizontal="center" vertical="center"/>
    </xf>
    <xf numFmtId="164" fontId="20" fillId="0" borderId="24" xfId="8" applyNumberFormat="1" applyFont="1" applyFill="1" applyBorder="1" applyAlignment="1" applyProtection="1">
      <alignment horizontal="center" vertical="center"/>
    </xf>
    <xf numFmtId="164" fontId="20" fillId="0" borderId="35" xfId="8" applyNumberFormat="1" applyFont="1" applyFill="1" applyBorder="1" applyAlignment="1" applyProtection="1">
      <alignment horizontal="center" vertical="center"/>
    </xf>
    <xf numFmtId="164" fontId="20" fillId="0" borderId="7" xfId="8" applyNumberFormat="1" applyFont="1" applyFill="1" applyBorder="1" applyAlignment="1" applyProtection="1">
      <alignment horizontal="center" vertical="center"/>
    </xf>
    <xf numFmtId="0" fontId="20" fillId="0" borderId="7" xfId="8" applyNumberFormat="1" applyFont="1" applyFill="1" applyBorder="1" applyAlignment="1" applyProtection="1">
      <alignment horizontal="left" vertical="center" wrapText="1"/>
    </xf>
    <xf numFmtId="3" fontId="20" fillId="0" borderId="7" xfId="8" applyNumberFormat="1" applyFont="1" applyFill="1" applyBorder="1" applyAlignment="1" applyProtection="1">
      <alignment horizontal="center" vertical="center"/>
    </xf>
    <xf numFmtId="49" fontId="20" fillId="0" borderId="7" xfId="8" applyNumberFormat="1" applyFont="1" applyFill="1" applyBorder="1" applyAlignment="1" applyProtection="1">
      <alignment horizontal="center" vertical="center"/>
    </xf>
    <xf numFmtId="164" fontId="21" fillId="0" borderId="7" xfId="8" applyNumberFormat="1" applyFont="1" applyFill="1" applyBorder="1" applyAlignment="1" applyProtection="1">
      <alignment horizontal="center" vertical="center"/>
    </xf>
    <xf numFmtId="164" fontId="21" fillId="0" borderId="26" xfId="8" applyNumberFormat="1" applyFont="1" applyFill="1" applyBorder="1" applyAlignment="1" applyProtection="1">
      <alignment horizontal="center" vertical="center"/>
    </xf>
    <xf numFmtId="164" fontId="21" fillId="0" borderId="27" xfId="8" applyNumberFormat="1" applyFont="1" applyFill="1" applyBorder="1" applyAlignment="1" applyProtection="1">
      <alignment horizontal="center" vertical="center"/>
    </xf>
    <xf numFmtId="165" fontId="18" fillId="0" borderId="37" xfId="8" applyNumberFormat="1" applyFont="1" applyFill="1" applyBorder="1" applyAlignment="1" applyProtection="1">
      <alignment horizontal="center" vertical="center"/>
    </xf>
    <xf numFmtId="165" fontId="18" fillId="0" borderId="31" xfId="8" applyNumberFormat="1" applyFont="1" applyFill="1" applyBorder="1" applyAlignment="1" applyProtection="1">
      <alignment horizontal="center" vertical="center"/>
    </xf>
    <xf numFmtId="164" fontId="20" fillId="0" borderId="23" xfId="8" applyNumberFormat="1" applyFont="1" applyFill="1" applyBorder="1" applyAlignment="1" applyProtection="1">
      <alignment horizontal="center" vertical="center"/>
    </xf>
    <xf numFmtId="165" fontId="20" fillId="5" borderId="7" xfId="8" applyNumberFormat="1" applyFont="1" applyFill="1" applyBorder="1" applyAlignment="1" applyProtection="1">
      <alignment horizontal="center" vertical="center"/>
    </xf>
    <xf numFmtId="164" fontId="20" fillId="5" borderId="24" xfId="8" applyNumberFormat="1" applyFont="1" applyFill="1" applyBorder="1" applyAlignment="1" applyProtection="1">
      <alignment horizontal="center" vertical="center"/>
    </xf>
    <xf numFmtId="164" fontId="20" fillId="5" borderId="23" xfId="8" applyNumberFormat="1" applyFont="1" applyFill="1" applyBorder="1" applyAlignment="1" applyProtection="1">
      <alignment horizontal="center" vertical="center"/>
    </xf>
    <xf numFmtId="0" fontId="20" fillId="0" borderId="7" xfId="8" applyNumberFormat="1" applyFont="1" applyFill="1" applyBorder="1" applyAlignment="1" applyProtection="1">
      <alignment horizontal="center" vertical="center"/>
    </xf>
    <xf numFmtId="164" fontId="20" fillId="5" borderId="37" xfId="8" applyNumberFormat="1" applyFont="1" applyFill="1" applyBorder="1" applyAlignment="1" applyProtection="1">
      <alignment horizontal="center" vertical="center"/>
    </xf>
    <xf numFmtId="164" fontId="20" fillId="5" borderId="31" xfId="8" applyNumberFormat="1" applyFont="1" applyFill="1" applyBorder="1" applyAlignment="1" applyProtection="1">
      <alignment horizontal="center" vertical="center"/>
    </xf>
    <xf numFmtId="165" fontId="21" fillId="7" borderId="7" xfId="8" applyNumberFormat="1" applyFont="1" applyFill="1" applyBorder="1" applyAlignment="1" applyProtection="1">
      <alignment horizontal="center" vertical="center"/>
    </xf>
    <xf numFmtId="164" fontId="21" fillId="7" borderId="26" xfId="8" applyNumberFormat="1" applyFont="1" applyFill="1" applyBorder="1" applyAlignment="1" applyProtection="1">
      <alignment horizontal="center" vertical="center"/>
    </xf>
    <xf numFmtId="164" fontId="21" fillId="7" borderId="27" xfId="8" applyNumberFormat="1" applyFont="1" applyFill="1" applyBorder="1" applyAlignment="1" applyProtection="1">
      <alignment horizontal="center" vertical="center"/>
    </xf>
    <xf numFmtId="0" fontId="21" fillId="0" borderId="7" xfId="8" applyNumberFormat="1" applyFont="1" applyFill="1" applyBorder="1" applyAlignment="1" applyProtection="1">
      <alignment horizontal="left" vertical="center" wrapText="1"/>
    </xf>
    <xf numFmtId="3" fontId="21" fillId="0" borderId="7" xfId="8" applyNumberFormat="1" applyFont="1" applyFill="1" applyBorder="1" applyAlignment="1" applyProtection="1">
      <alignment horizontal="center" vertical="center"/>
    </xf>
    <xf numFmtId="164" fontId="20" fillId="0" borderId="33" xfId="8" applyNumberFormat="1" applyFont="1" applyFill="1" applyBorder="1" applyAlignment="1" applyProtection="1">
      <alignment horizontal="center" vertical="center"/>
    </xf>
    <xf numFmtId="164" fontId="20" fillId="0" borderId="36" xfId="8" applyNumberFormat="1" applyFont="1" applyFill="1" applyBorder="1" applyAlignment="1" applyProtection="1">
      <alignment horizontal="center" vertical="center"/>
    </xf>
    <xf numFmtId="164" fontId="21" fillId="0" borderId="37" xfId="8" applyNumberFormat="1" applyFont="1" applyFill="1" applyBorder="1" applyAlignment="1" applyProtection="1">
      <alignment horizontal="center" vertical="center"/>
    </xf>
    <xf numFmtId="164" fontId="21" fillId="0" borderId="31" xfId="8" applyNumberFormat="1" applyFont="1" applyFill="1" applyBorder="1" applyAlignment="1" applyProtection="1">
      <alignment horizontal="center" vertical="center"/>
    </xf>
    <xf numFmtId="164" fontId="21" fillId="7" borderId="43" xfId="8" applyNumberFormat="1" applyFont="1" applyFill="1" applyBorder="1" applyAlignment="1" applyProtection="1">
      <alignment horizontal="center" vertical="center"/>
    </xf>
    <xf numFmtId="164" fontId="21" fillId="7" borderId="25" xfId="8" applyNumberFormat="1" applyFont="1" applyFill="1" applyBorder="1" applyAlignment="1" applyProtection="1">
      <alignment horizontal="center" vertical="center"/>
    </xf>
    <xf numFmtId="165" fontId="21" fillId="9" borderId="7" xfId="8" applyNumberFormat="1" applyFont="1" applyFill="1" applyBorder="1" applyAlignment="1" applyProtection="1">
      <alignment horizontal="center" vertical="center"/>
    </xf>
    <xf numFmtId="164" fontId="21" fillId="9" borderId="26" xfId="8" applyNumberFormat="1" applyFont="1" applyFill="1" applyBorder="1" applyAlignment="1" applyProtection="1">
      <alignment horizontal="center" vertical="center"/>
    </xf>
    <xf numFmtId="164" fontId="21" fillId="9" borderId="27" xfId="8" applyNumberFormat="1" applyFont="1" applyFill="1" applyBorder="1" applyAlignment="1" applyProtection="1">
      <alignment horizontal="center" vertical="center"/>
    </xf>
    <xf numFmtId="0" fontId="21" fillId="0" borderId="7" xfId="8" applyNumberFormat="1" applyFont="1" applyFill="1" applyBorder="1" applyAlignment="1" applyProtection="1">
      <alignment horizontal="left" vertical="center"/>
    </xf>
    <xf numFmtId="164" fontId="20" fillId="0" borderId="0" xfId="8" applyNumberFormat="1" applyFont="1" applyFill="1" applyBorder="1" applyAlignment="1" applyProtection="1">
      <alignment horizontal="center" vertical="center"/>
    </xf>
    <xf numFmtId="0" fontId="20" fillId="0" borderId="7" xfId="8" applyNumberFormat="1" applyFont="1" applyFill="1" applyBorder="1" applyAlignment="1" applyProtection="1">
      <alignment horizontal="left" vertical="top" wrapText="1"/>
    </xf>
    <xf numFmtId="164" fontId="20" fillId="0" borderId="22" xfId="8" applyNumberFormat="1" applyFont="1" applyFill="1" applyBorder="1" applyAlignment="1" applyProtection="1">
      <alignment horizontal="center" vertical="center"/>
    </xf>
    <xf numFmtId="164" fontId="20" fillId="0" borderId="32" xfId="8" applyNumberFormat="1" applyFont="1" applyFill="1" applyBorder="1" applyAlignment="1" applyProtection="1">
      <alignment horizontal="center" vertical="center"/>
    </xf>
    <xf numFmtId="164" fontId="20" fillId="0" borderId="37" xfId="8" applyNumberFormat="1" applyFont="1" applyFill="1" applyBorder="1" applyAlignment="1" applyProtection="1">
      <alignment horizontal="center" vertical="center"/>
    </xf>
    <xf numFmtId="164" fontId="20" fillId="0" borderId="31" xfId="8" applyNumberFormat="1" applyFont="1" applyFill="1" applyBorder="1" applyAlignment="1" applyProtection="1">
      <alignment horizontal="center" vertical="center"/>
    </xf>
    <xf numFmtId="0" fontId="20" fillId="0" borderId="7" xfId="8" applyNumberFormat="1" applyFont="1" applyFill="1" applyBorder="1" applyAlignment="1" applyProtection="1">
      <alignment vertical="top" wrapText="1"/>
    </xf>
    <xf numFmtId="0" fontId="20" fillId="0" borderId="7" xfId="8" applyNumberFormat="1" applyFont="1" applyFill="1" applyBorder="1" applyAlignment="1" applyProtection="1">
      <alignment vertical="center" wrapText="1"/>
    </xf>
    <xf numFmtId="165" fontId="21" fillId="2" borderId="7" xfId="8" applyNumberFormat="1" applyFont="1" applyFill="1" applyBorder="1" applyAlignment="1" applyProtection="1">
      <alignment horizontal="center" vertical="center"/>
    </xf>
    <xf numFmtId="0" fontId="21" fillId="0" borderId="7" xfId="8" applyNumberFormat="1" applyFont="1" applyFill="1" applyBorder="1" applyAlignment="1" applyProtection="1">
      <alignment vertical="center" wrapText="1"/>
    </xf>
    <xf numFmtId="164" fontId="21" fillId="7" borderId="24" xfId="8" applyNumberFormat="1" applyFont="1" applyFill="1" applyBorder="1" applyAlignment="1" applyProtection="1">
      <alignment horizontal="center" vertical="center"/>
    </xf>
    <xf numFmtId="164" fontId="21" fillId="7" borderId="23" xfId="8" applyNumberFormat="1" applyFont="1" applyFill="1" applyBorder="1" applyAlignment="1" applyProtection="1">
      <alignment horizontal="center" vertical="center"/>
    </xf>
    <xf numFmtId="164" fontId="22" fillId="7" borderId="26" xfId="8" applyNumberFormat="1" applyFont="1" applyFill="1" applyBorder="1" applyAlignment="1" applyProtection="1">
      <alignment horizontal="center" vertical="center"/>
    </xf>
    <xf numFmtId="164" fontId="22" fillId="7" borderId="27" xfId="8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vertical="center"/>
    </xf>
    <xf numFmtId="164" fontId="20" fillId="0" borderId="38" xfId="8" applyNumberFormat="1" applyFont="1" applyFill="1" applyBorder="1" applyAlignment="1" applyProtection="1">
      <alignment horizontal="center" vertical="center"/>
    </xf>
    <xf numFmtId="165" fontId="21" fillId="7" borderId="7" xfId="0" applyNumberFormat="1" applyFont="1" applyFill="1" applyBorder="1" applyAlignment="1" applyProtection="1">
      <alignment horizontal="center" vertical="center"/>
      <protection locked="0"/>
    </xf>
    <xf numFmtId="164" fontId="22" fillId="7" borderId="42" xfId="8" applyNumberFormat="1" applyFont="1" applyFill="1" applyBorder="1" applyAlignment="1" applyProtection="1">
      <alignment horizontal="center" vertical="center"/>
      <protection locked="0"/>
    </xf>
    <xf numFmtId="164" fontId="22" fillId="7" borderId="25" xfId="8" applyNumberFormat="1" applyFont="1" applyFill="1" applyBorder="1" applyAlignment="1" applyProtection="1">
      <alignment horizontal="center" vertical="center"/>
      <protection locked="0"/>
    </xf>
    <xf numFmtId="165" fontId="21" fillId="0" borderId="7" xfId="8" applyNumberFormat="1" applyFont="1" applyFill="1" applyBorder="1" applyAlignment="1" applyProtection="1">
      <alignment horizontal="center" vertical="center"/>
      <protection locked="0"/>
    </xf>
    <xf numFmtId="164" fontId="21" fillId="0" borderId="7" xfId="8" applyNumberFormat="1" applyFont="1" applyFill="1" applyBorder="1" applyAlignment="1" applyProtection="1">
      <alignment horizontal="center" vertical="center"/>
      <protection locked="0"/>
    </xf>
    <xf numFmtId="0" fontId="21" fillId="0" borderId="7" xfId="8" applyNumberFormat="1" applyFont="1" applyFill="1" applyBorder="1" applyAlignment="1" applyProtection="1">
      <alignment horizontal="left" vertical="center" wrapText="1"/>
      <protection locked="0"/>
    </xf>
    <xf numFmtId="3" fontId="21" fillId="0" borderId="7" xfId="8" applyNumberFormat="1" applyFont="1" applyFill="1" applyBorder="1" applyAlignment="1" applyProtection="1">
      <alignment horizontal="center" vertical="center"/>
      <protection locked="0"/>
    </xf>
    <xf numFmtId="0" fontId="21" fillId="0" borderId="7" xfId="8" applyNumberFormat="1" applyFont="1" applyFill="1" applyBorder="1" applyAlignment="1" applyProtection="1">
      <alignment horizontal="center" vertical="center"/>
      <protection locked="0"/>
    </xf>
    <xf numFmtId="165" fontId="21" fillId="9" borderId="7" xfId="0" applyNumberFormat="1" applyFont="1" applyFill="1" applyBorder="1" applyAlignment="1" applyProtection="1">
      <alignment horizontal="center" vertical="center"/>
      <protection locked="0"/>
    </xf>
    <xf numFmtId="164" fontId="22" fillId="9" borderId="29" xfId="8" applyNumberFormat="1" applyFont="1" applyFill="1" applyBorder="1" applyAlignment="1" applyProtection="1">
      <alignment horizontal="center" vertical="center"/>
      <protection locked="0"/>
    </xf>
    <xf numFmtId="164" fontId="22" fillId="9" borderId="27" xfId="8" applyNumberFormat="1" applyFont="1" applyFill="1" applyBorder="1" applyAlignment="1" applyProtection="1">
      <alignment horizontal="center" vertical="center"/>
      <protection locked="0"/>
    </xf>
    <xf numFmtId="0" fontId="21" fillId="0" borderId="7" xfId="8" applyNumberFormat="1" applyFont="1" applyFill="1" applyBorder="1" applyAlignment="1" applyProtection="1">
      <alignment horizontal="left" vertical="center"/>
      <protection locked="0"/>
    </xf>
    <xf numFmtId="164" fontId="21" fillId="0" borderId="7" xfId="8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9" xfId="8" applyNumberFormat="1" applyFont="1" applyFill="1" applyBorder="1" applyAlignment="1" applyProtection="1">
      <alignment horizontal="center" vertical="center" wrapText="1"/>
      <protection locked="0"/>
    </xf>
    <xf numFmtId="164" fontId="24" fillId="0" borderId="27" xfId="8" applyNumberFormat="1" applyFont="1" applyFill="1" applyBorder="1" applyAlignment="1" applyProtection="1">
      <alignment horizontal="center" vertical="center" wrapText="1"/>
      <protection locked="0"/>
    </xf>
    <xf numFmtId="164" fontId="21" fillId="0" borderId="7" xfId="8" applyNumberFormat="1" applyFont="1" applyFill="1" applyBorder="1" applyAlignment="1" applyProtection="1">
      <alignment horizontal="center" vertical="center" wrapText="1"/>
      <protection locked="0"/>
    </xf>
    <xf numFmtId="0" fontId="21" fillId="0" borderId="7" xfId="8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top"/>
      <protection locked="0"/>
    </xf>
    <xf numFmtId="0" fontId="19" fillId="0" borderId="0" xfId="0" applyNumberFormat="1" applyFont="1" applyFill="1" applyBorder="1" applyAlignment="1" applyProtection="1">
      <alignment horizontal="center" vertical="top"/>
      <protection locked="0"/>
    </xf>
    <xf numFmtId="49" fontId="29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48" xfId="0" applyFont="1" applyFill="1" applyBorder="1" applyAlignment="1">
      <alignment horizontal="left" vertical="center" wrapText="1"/>
    </xf>
    <xf numFmtId="49" fontId="29" fillId="0" borderId="48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48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7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0" applyNumberFormat="1" applyFont="1" applyFill="1" applyBorder="1" applyAlignment="1" applyProtection="1">
      <alignment vertical="top"/>
    </xf>
    <xf numFmtId="0" fontId="29" fillId="0" borderId="7" xfId="0" applyFont="1" applyBorder="1" applyAlignment="1">
      <alignment horizontal="left" vertical="center" wrapText="1"/>
    </xf>
    <xf numFmtId="0" fontId="28" fillId="0" borderId="51" xfId="0" applyFont="1" applyFill="1" applyBorder="1" applyAlignment="1">
      <alignment horizontal="left" vertical="center" wrapText="1"/>
    </xf>
    <xf numFmtId="49" fontId="29" fillId="0" borderId="54" xfId="0" applyNumberFormat="1" applyFont="1" applyFill="1" applyBorder="1" applyAlignment="1" applyProtection="1">
      <alignment vertical="center" wrapText="1"/>
      <protection hidden="1"/>
    </xf>
    <xf numFmtId="12" fontId="29" fillId="0" borderId="45" xfId="0" applyNumberFormat="1" applyFont="1" applyFill="1" applyBorder="1" applyAlignment="1" applyProtection="1">
      <alignment horizontal="justify" vertical="center" wrapText="1"/>
      <protection hidden="1"/>
    </xf>
    <xf numFmtId="164" fontId="29" fillId="0" borderId="45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5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5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7" applyNumberFormat="1" applyFont="1" applyFill="1" applyBorder="1" applyAlignment="1" applyProtection="1">
      <alignment horizontal="justify" vertical="center" wrapText="1"/>
    </xf>
    <xf numFmtId="49" fontId="29" fillId="0" borderId="11" xfId="7" applyNumberFormat="1" applyFont="1" applyFill="1" applyBorder="1" applyAlignment="1" applyProtection="1">
      <alignment horizontal="justify" vertical="center" wrapText="1"/>
    </xf>
    <xf numFmtId="49" fontId="29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9" xfId="7" applyNumberFormat="1" applyFont="1" applyFill="1" applyBorder="1" applyAlignment="1" applyProtection="1">
      <alignment horizontal="center" vertical="center"/>
    </xf>
    <xf numFmtId="164" fontId="29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3" xfId="0" applyFont="1" applyFill="1" applyBorder="1" applyAlignment="1">
      <alignment horizontal="left" vertical="center" wrapText="1"/>
    </xf>
    <xf numFmtId="12" fontId="29" fillId="0" borderId="54" xfId="0" applyNumberFormat="1" applyFont="1" applyFill="1" applyBorder="1" applyAlignment="1" applyProtection="1">
      <alignment horizontal="justify" vertical="center" wrapText="1"/>
      <protection hidden="1"/>
    </xf>
    <xf numFmtId="164" fontId="28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47" xfId="0" applyFont="1" applyFill="1" applyBorder="1" applyAlignment="1">
      <alignment horizontal="left" vertical="center" wrapText="1"/>
    </xf>
    <xf numFmtId="165" fontId="28" fillId="0" borderId="1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4" xfId="0" applyNumberFormat="1" applyFont="1" applyFill="1" applyBorder="1" applyAlignment="1" applyProtection="1">
      <alignment horizontal="left" vertical="center" wrapText="1"/>
      <protection hidden="1"/>
    </xf>
    <xf numFmtId="164" fontId="28" fillId="0" borderId="45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55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1" xfId="0" applyFont="1" applyFill="1" applyBorder="1" applyAlignment="1">
      <alignment horizontal="left" vertical="center" wrapText="1"/>
    </xf>
    <xf numFmtId="49" fontId="28" fillId="3" borderId="11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16" xfId="0" applyNumberFormat="1" applyFont="1" applyFill="1" applyBorder="1" applyAlignment="1" applyProtection="1">
      <alignment horizontal="center" vertical="center"/>
    </xf>
    <xf numFmtId="49" fontId="29" fillId="0" borderId="11" xfId="7" applyNumberFormat="1" applyFont="1" applyFill="1" applyBorder="1" applyAlignment="1" applyProtection="1">
      <alignment horizontal="justify" vertical="center"/>
    </xf>
    <xf numFmtId="0" fontId="20" fillId="0" borderId="16" xfId="0" applyNumberFormat="1" applyFont="1" applyFill="1" applyBorder="1" applyAlignment="1" applyProtection="1">
      <alignment horizontal="center" vertical="center"/>
    </xf>
    <xf numFmtId="49" fontId="29" fillId="0" borderId="11" xfId="7" applyNumberFormat="1" applyFont="1" applyFill="1" applyBorder="1" applyAlignment="1" applyProtection="1">
      <alignment horizontal="justify" vertical="top"/>
    </xf>
    <xf numFmtId="0" fontId="29" fillId="0" borderId="11" xfId="0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 applyProtection="1">
      <alignment horizontal="left" vertical="top" wrapText="1"/>
      <protection hidden="1"/>
    </xf>
    <xf numFmtId="49" fontId="29" fillId="0" borderId="11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48" xfId="0" applyNumberFormat="1" applyFont="1" applyFill="1" applyBorder="1" applyAlignment="1" applyProtection="1">
      <alignment horizontal="justify" vertical="center" wrapText="1"/>
      <protection hidden="1"/>
    </xf>
    <xf numFmtId="164" fontId="28" fillId="0" borderId="48" xfId="0" applyNumberFormat="1" applyFont="1" applyFill="1" applyBorder="1" applyAlignment="1" applyProtection="1">
      <alignment horizontal="center" vertical="center" wrapText="1"/>
      <protection hidden="1"/>
    </xf>
    <xf numFmtId="164" fontId="20" fillId="0" borderId="56" xfId="8" applyNumberFormat="1" applyFont="1" applyFill="1" applyBorder="1" applyAlignment="1" applyProtection="1">
      <alignment horizontal="center" vertical="center"/>
    </xf>
    <xf numFmtId="164" fontId="20" fillId="0" borderId="41" xfId="8" applyNumberFormat="1" applyFont="1" applyFill="1" applyBorder="1" applyAlignment="1" applyProtection="1">
      <alignment horizontal="center" vertical="center"/>
    </xf>
    <xf numFmtId="49" fontId="29" fillId="0" borderId="13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" xfId="0" applyNumberFormat="1" applyFont="1" applyFill="1" applyBorder="1" applyAlignment="1" applyProtection="1">
      <alignment horizontal="justify" vertical="center" wrapText="1"/>
      <protection hidden="1"/>
    </xf>
    <xf numFmtId="165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7" xfId="8" applyNumberFormat="1" applyFont="1" applyFill="1" applyBorder="1" applyAlignment="1" applyProtection="1">
      <alignment horizontal="center" wrapText="1"/>
    </xf>
    <xf numFmtId="164" fontId="24" fillId="0" borderId="7" xfId="8" applyNumberFormat="1" applyFont="1" applyFill="1" applyBorder="1" applyAlignment="1" applyProtection="1">
      <alignment horizontal="center" vertical="center" wrapText="1"/>
    </xf>
    <xf numFmtId="164" fontId="24" fillId="0" borderId="2" xfId="8" applyNumberFormat="1" applyFont="1" applyFill="1" applyBorder="1" applyAlignment="1" applyProtection="1">
      <alignment horizontal="center" vertical="center" wrapText="1"/>
    </xf>
    <xf numFmtId="164" fontId="24" fillId="0" borderId="19" xfId="8" applyNumberFormat="1" applyFont="1" applyFill="1" applyBorder="1" applyAlignment="1" applyProtection="1">
      <alignment horizontal="center" vertical="center" wrapText="1"/>
    </xf>
    <xf numFmtId="49" fontId="28" fillId="0" borderId="11" xfId="7" applyNumberFormat="1" applyFont="1" applyFill="1" applyBorder="1" applyAlignment="1" applyProtection="1">
      <alignment horizontal="left" vertical="center" wrapText="1"/>
    </xf>
    <xf numFmtId="49" fontId="29" fillId="0" borderId="5" xfId="7" applyNumberFormat="1" applyFont="1" applyFill="1" applyBorder="1" applyAlignment="1" applyProtection="1">
      <alignment horizontal="left" vertical="center"/>
    </xf>
    <xf numFmtId="49" fontId="29" fillId="0" borderId="5" xfId="7" applyNumberFormat="1" applyFont="1" applyFill="1" applyBorder="1" applyAlignment="1" applyProtection="1">
      <alignment horizontal="center" vertical="center"/>
    </xf>
    <xf numFmtId="164" fontId="29" fillId="0" borderId="18" xfId="7" applyNumberFormat="1" applyFont="1" applyFill="1" applyBorder="1" applyAlignment="1" applyProtection="1">
      <alignment horizontal="center" vertical="center"/>
    </xf>
    <xf numFmtId="165" fontId="29" fillId="0" borderId="18" xfId="7" applyNumberFormat="1" applyFont="1" applyFill="1" applyBorder="1" applyAlignment="1" applyProtection="1">
      <alignment horizontal="center" vertical="center"/>
    </xf>
    <xf numFmtId="164" fontId="29" fillId="0" borderId="16" xfId="7" applyNumberFormat="1" applyFont="1" applyFill="1" applyBorder="1" applyAlignment="1" applyProtection="1">
      <alignment horizontal="center" vertical="center"/>
    </xf>
    <xf numFmtId="165" fontId="28" fillId="0" borderId="16" xfId="7" applyNumberFormat="1" applyFont="1" applyFill="1" applyBorder="1" applyAlignment="1" applyProtection="1">
      <alignment horizontal="center" vertical="center"/>
    </xf>
    <xf numFmtId="165" fontId="29" fillId="0" borderId="16" xfId="7" applyNumberFormat="1" applyFont="1" applyFill="1" applyBorder="1" applyAlignment="1" applyProtection="1">
      <alignment horizontal="center" vertical="center"/>
    </xf>
    <xf numFmtId="12" fontId="29" fillId="0" borderId="7" xfId="7" applyNumberFormat="1" applyFont="1" applyFill="1" applyBorder="1" applyAlignment="1" applyProtection="1">
      <alignment horizontal="justify" vertical="center" wrapText="1"/>
    </xf>
    <xf numFmtId="164" fontId="29" fillId="0" borderId="20" xfId="7" applyNumberFormat="1" applyFont="1" applyFill="1" applyBorder="1" applyAlignment="1" applyProtection="1">
      <alignment horizontal="center" vertical="center"/>
    </xf>
    <xf numFmtId="49" fontId="29" fillId="0" borderId="5" xfId="7" applyNumberFormat="1" applyFont="1" applyFill="1" applyBorder="1" applyAlignment="1" applyProtection="1">
      <alignment horizontal="justify" vertical="center" wrapText="1"/>
    </xf>
    <xf numFmtId="164" fontId="29" fillId="0" borderId="23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center" vertical="center"/>
    </xf>
    <xf numFmtId="49" fontId="29" fillId="0" borderId="13" xfId="7" applyNumberFormat="1" applyFont="1" applyFill="1" applyBorder="1" applyAlignment="1" applyProtection="1">
      <alignment horizontal="justify" vertical="center" wrapText="1"/>
    </xf>
    <xf numFmtId="165" fontId="28" fillId="0" borderId="20" xfId="7" applyNumberFormat="1" applyFont="1" applyFill="1" applyBorder="1" applyAlignment="1" applyProtection="1">
      <alignment horizontal="center" vertical="center"/>
    </xf>
    <xf numFmtId="164" fontId="29" fillId="0" borderId="7" xfId="8" applyNumberFormat="1" applyFont="1" applyFill="1" applyBorder="1" applyAlignment="1" applyProtection="1">
      <alignment horizontal="center" vertical="center"/>
    </xf>
    <xf numFmtId="49" fontId="28" fillId="0" borderId="5" xfId="7" applyNumberFormat="1" applyFont="1" applyFill="1" applyBorder="1" applyAlignment="1" applyProtection="1">
      <alignment horizontal="justify" vertical="center"/>
    </xf>
    <xf numFmtId="49" fontId="28" fillId="0" borderId="5" xfId="7" applyNumberFormat="1" applyFont="1" applyFill="1" applyBorder="1" applyAlignment="1" applyProtection="1">
      <alignment horizontal="center" vertical="center"/>
    </xf>
    <xf numFmtId="164" fontId="29" fillId="0" borderId="16" xfId="8" applyNumberFormat="1" applyFont="1" applyFill="1" applyBorder="1" applyAlignment="1" applyProtection="1">
      <alignment horizontal="center" vertical="center"/>
    </xf>
    <xf numFmtId="165" fontId="28" fillId="0" borderId="16" xfId="8" applyNumberFormat="1" applyFont="1" applyFill="1" applyBorder="1" applyAlignment="1" applyProtection="1">
      <alignment horizontal="center" vertical="center"/>
    </xf>
    <xf numFmtId="49" fontId="28" fillId="0" borderId="7" xfId="7" applyNumberFormat="1" applyFont="1" applyFill="1" applyBorder="1" applyAlignment="1" applyProtection="1">
      <alignment horizontal="left" vertical="center" wrapText="1"/>
    </xf>
    <xf numFmtId="49" fontId="29" fillId="0" borderId="4" xfId="7" applyNumberFormat="1" applyFont="1" applyFill="1" applyBorder="1" applyAlignment="1" applyProtection="1">
      <alignment horizontal="left" vertical="center"/>
    </xf>
    <xf numFmtId="49" fontId="29" fillId="0" borderId="11" xfId="7" applyNumberFormat="1" applyFont="1" applyFill="1" applyBorder="1" applyAlignment="1" applyProtection="1">
      <alignment vertical="center"/>
    </xf>
    <xf numFmtId="12" fontId="29" fillId="0" borderId="7" xfId="7" applyNumberFormat="1" applyFont="1" applyFill="1" applyBorder="1" applyAlignment="1" applyProtection="1">
      <alignment horizontal="center" vertical="center" wrapText="1"/>
    </xf>
    <xf numFmtId="49" fontId="29" fillId="0" borderId="12" xfId="7" applyNumberFormat="1" applyFont="1" applyFill="1" applyBorder="1" applyAlignment="1" applyProtection="1">
      <alignment vertical="center"/>
    </xf>
    <xf numFmtId="12" fontId="29" fillId="0" borderId="13" xfId="7" applyNumberFormat="1" applyFont="1" applyFill="1" applyBorder="1" applyAlignment="1" applyProtection="1">
      <alignment horizontal="center" vertical="center" wrapText="1"/>
    </xf>
    <xf numFmtId="49" fontId="29" fillId="0" borderId="4" xfId="7" applyNumberFormat="1" applyFont="1" applyFill="1" applyBorder="1" applyAlignment="1" applyProtection="1">
      <alignment vertical="center"/>
    </xf>
    <xf numFmtId="49" fontId="29" fillId="0" borderId="5" xfId="7" applyNumberFormat="1" applyFont="1" applyFill="1" applyBorder="1" applyAlignment="1" applyProtection="1">
      <alignment horizontal="center" vertical="center" wrapText="1"/>
    </xf>
    <xf numFmtId="49" fontId="29" fillId="0" borderId="14" xfId="7" applyNumberFormat="1" applyFont="1" applyFill="1" applyBorder="1" applyAlignment="1" applyProtection="1">
      <alignment vertical="center"/>
    </xf>
    <xf numFmtId="165" fontId="29" fillId="0" borderId="20" xfId="7" applyNumberFormat="1" applyFont="1" applyFill="1" applyBorder="1" applyAlignment="1" applyProtection="1">
      <alignment horizontal="center" vertical="center"/>
    </xf>
    <xf numFmtId="49" fontId="29" fillId="0" borderId="7" xfId="7" applyNumberFormat="1" applyFont="1" applyFill="1" applyBorder="1" applyAlignment="1" applyProtection="1">
      <alignment vertical="center"/>
    </xf>
    <xf numFmtId="49" fontId="28" fillId="0" borderId="7" xfId="7" applyNumberFormat="1" applyFont="1" applyFill="1" applyBorder="1" applyAlignment="1" applyProtection="1">
      <alignment horizontal="justify" vertical="center"/>
    </xf>
    <xf numFmtId="49" fontId="28" fillId="0" borderId="58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8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7" applyNumberFormat="1" applyFont="1" applyFill="1" applyBorder="1" applyAlignment="1" applyProtection="1">
      <alignment vertical="top"/>
    </xf>
    <xf numFmtId="165" fontId="24" fillId="0" borderId="7" xfId="7" applyNumberFormat="1" applyFont="1" applyFill="1" applyBorder="1" applyAlignment="1" applyProtection="1">
      <alignment horizontal="center" vertical="center"/>
    </xf>
    <xf numFmtId="165" fontId="30" fillId="0" borderId="7" xfId="7" applyNumberFormat="1" applyFont="1" applyFill="1" applyBorder="1" applyAlignment="1" applyProtection="1">
      <alignment horizontal="center" vertical="center"/>
    </xf>
    <xf numFmtId="0" fontId="30" fillId="0" borderId="7" xfId="7" applyNumberFormat="1" applyFont="1" applyFill="1" applyBorder="1" applyAlignment="1" applyProtection="1">
      <alignment horizontal="left" vertical="center" wrapText="1"/>
    </xf>
    <xf numFmtId="0" fontId="24" fillId="0" borderId="7" xfId="7" applyNumberFormat="1" applyFont="1" applyFill="1" applyBorder="1" applyAlignment="1" applyProtection="1">
      <alignment horizontal="left" vertical="center" wrapText="1"/>
    </xf>
    <xf numFmtId="165" fontId="24" fillId="0" borderId="7" xfId="7" applyNumberFormat="1" applyFont="1" applyFill="1" applyBorder="1" applyAlignment="1" applyProtection="1">
      <alignment horizontal="center" vertical="center" wrapText="1"/>
    </xf>
    <xf numFmtId="0" fontId="24" fillId="0" borderId="7" xfId="7" applyNumberFormat="1" applyFont="1" applyFill="1" applyBorder="1" applyAlignment="1" applyProtection="1">
      <alignment horizontal="center" vertical="center" wrapText="1"/>
    </xf>
    <xf numFmtId="0" fontId="20" fillId="0" borderId="0" xfId="7" applyNumberFormat="1" applyFont="1" applyFill="1" applyBorder="1" applyAlignment="1" applyProtection="1">
      <alignment vertical="top"/>
    </xf>
    <xf numFmtId="0" fontId="20" fillId="0" borderId="0" xfId="7" applyNumberFormat="1" applyFont="1" applyFill="1" applyBorder="1" applyAlignment="1" applyProtection="1">
      <alignment horizontal="right" vertical="top"/>
    </xf>
    <xf numFmtId="0" fontId="20" fillId="0" borderId="0" xfId="7" applyNumberFormat="1" applyFont="1" applyFill="1" applyBorder="1" applyAlignment="1" applyProtection="1">
      <alignment horizontal="right"/>
    </xf>
    <xf numFmtId="0" fontId="25" fillId="0" borderId="0" xfId="7" applyNumberFormat="1" applyFont="1" applyFill="1" applyBorder="1" applyAlignment="1" applyProtection="1">
      <alignment vertical="center" wrapText="1"/>
    </xf>
    <xf numFmtId="0" fontId="32" fillId="0" borderId="0" xfId="7" applyNumberFormat="1" applyFont="1" applyFill="1" applyBorder="1" applyAlignment="1" applyProtection="1">
      <alignment horizontal="right" vertical="top" wrapText="1"/>
    </xf>
    <xf numFmtId="0" fontId="32" fillId="0" borderId="0" xfId="7" applyNumberFormat="1" applyFont="1" applyFill="1" applyBorder="1" applyAlignment="1" applyProtection="1">
      <alignment vertical="top" wrapText="1"/>
    </xf>
    <xf numFmtId="0" fontId="23" fillId="0" borderId="0" xfId="7" applyNumberFormat="1" applyFont="1" applyFill="1" applyBorder="1" applyAlignment="1" applyProtection="1">
      <alignment horizontal="left" vertical="top"/>
    </xf>
    <xf numFmtId="0" fontId="10" fillId="0" borderId="0" xfId="5" applyNumberFormat="1" applyFill="1" applyBorder="1" applyAlignment="1" applyProtection="1">
      <alignment horizontal="center"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44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24" xfId="8" applyNumberFormat="1" applyFont="1" applyFill="1" applyBorder="1" applyAlignment="1" applyProtection="1">
      <alignment horizontal="left" vertical="top"/>
    </xf>
    <xf numFmtId="0" fontId="21" fillId="0" borderId="32" xfId="8" applyNumberFormat="1" applyFont="1" applyFill="1" applyBorder="1" applyAlignment="1" applyProtection="1">
      <alignment horizontal="left" vertical="top"/>
    </xf>
    <xf numFmtId="0" fontId="21" fillId="0" borderId="35" xfId="8" applyNumberFormat="1" applyFont="1" applyFill="1" applyBorder="1" applyAlignment="1" applyProtection="1">
      <alignment horizontal="left" vertical="top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right" vertical="top"/>
      <protection locked="0"/>
    </xf>
    <xf numFmtId="0" fontId="23" fillId="0" borderId="0" xfId="0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7" xfId="7" applyNumberFormat="1" applyFont="1" applyFill="1" applyBorder="1" applyAlignment="1" applyProtection="1">
      <alignment horizontal="left" vertical="center" wrapText="1"/>
    </xf>
    <xf numFmtId="0" fontId="20" fillId="0" borderId="0" xfId="7" applyNumberFormat="1" applyFont="1" applyFill="1" applyBorder="1" applyAlignment="1" applyProtection="1">
      <alignment horizontal="right" vertical="top"/>
    </xf>
    <xf numFmtId="0" fontId="22" fillId="0" borderId="0" xfId="7" applyNumberFormat="1" applyFont="1" applyFill="1" applyBorder="1" applyAlignment="1" applyProtection="1">
      <alignment horizontal="center"/>
    </xf>
    <xf numFmtId="0" fontId="30" fillId="0" borderId="0" xfId="7" applyNumberFormat="1" applyFont="1" applyFill="1" applyBorder="1" applyAlignment="1" applyProtection="1">
      <alignment horizontal="right" vertical="top"/>
    </xf>
    <xf numFmtId="0" fontId="24" fillId="0" borderId="7" xfId="7" applyNumberFormat="1" applyFont="1" applyFill="1" applyBorder="1" applyAlignment="1" applyProtection="1">
      <alignment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2 2 2" xfId="7"/>
    <cellStyle name="Обычный 3" xfId="3"/>
    <cellStyle name="Обычный 3 2" xfId="8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8;&#1086;&#1077;&#1082;&#1090;%20%202012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91;&#1093;&#1075;&#1072;&#1083;&#1090;&#1077;&#1088;&#1080;&#1103;/&#1055;&#1088;&#1086;&#1077;&#1082;&#1090;%202019%20&#1075;&#1086;&#1076;/&#1089;&#1086;&#1075;&#1083;&#1072;&#1096;&#1077;&#1085;&#1080;&#1077;%20&#1089;%20&#1050;&#1060;%202019/&#1048;&#1079;&#1084;&#1077;&#1085;&#1077;&#1085;&#1080;&#1103;%20&#1089;%2013.06.2019/&#1073;&#1102;&#1076;&#1078;&#1077;&#1090;%20&#1085;&#1072;%202019%20&#1089;%2013.06.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87;&#1088;&#1072;&#1074;&#1082;&#1080;%20&#1080;&#1102;&#1083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проект"/>
      <sheetName val="роспись"/>
      <sheetName val="ведомст.структ"/>
      <sheetName val="СРП(Д)"/>
      <sheetName val="прилож 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9">
          <cell r="I79">
            <v>20086.600000000002</v>
          </cell>
          <cell r="J79">
            <v>30141.100000000002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Прилож 2"/>
      <sheetName val="Функц.2019 (прил 3) "/>
      <sheetName val="Вед. 2019 (прил 4)"/>
    </sheetNames>
    <sheetDataSet>
      <sheetData sheetId="0" refreshError="1"/>
      <sheetData sheetId="1" refreshError="1"/>
      <sheetData sheetId="2" refreshError="1"/>
      <sheetData sheetId="3">
        <row r="95">
          <cell r="L95">
            <v>140</v>
          </cell>
        </row>
        <row r="177">
          <cell r="L177">
            <v>333.1</v>
          </cell>
        </row>
      </sheetData>
      <sheetData sheetId="4">
        <row r="11">
          <cell r="G11">
            <v>1157.3</v>
          </cell>
        </row>
        <row r="14">
          <cell r="G14">
            <v>1157.3</v>
          </cell>
        </row>
        <row r="15">
          <cell r="G15">
            <v>1616.2000000000003</v>
          </cell>
        </row>
        <row r="19">
          <cell r="G19">
            <v>719.80000000000007</v>
          </cell>
        </row>
        <row r="21">
          <cell r="G21">
            <v>750</v>
          </cell>
        </row>
        <row r="26">
          <cell r="G26">
            <v>146.4</v>
          </cell>
        </row>
        <row r="27">
          <cell r="G27">
            <v>72</v>
          </cell>
        </row>
        <row r="30">
          <cell r="G30">
            <v>72</v>
          </cell>
        </row>
        <row r="38">
          <cell r="G38">
            <v>9472.5</v>
          </cell>
        </row>
        <row r="42">
          <cell r="G42">
            <v>1175.8999999999999</v>
          </cell>
        </row>
        <row r="45">
          <cell r="G45">
            <v>5726.0999999999995</v>
          </cell>
        </row>
        <row r="47">
          <cell r="G47">
            <v>1071.6329999999998</v>
          </cell>
        </row>
        <row r="49">
          <cell r="G49">
            <v>83.466999999999999</v>
          </cell>
        </row>
        <row r="50">
          <cell r="G50">
            <v>10</v>
          </cell>
        </row>
        <row r="53">
          <cell r="G53">
            <v>572.20000000000005</v>
          </cell>
        </row>
        <row r="57">
          <cell r="G57">
            <v>767.4</v>
          </cell>
        </row>
        <row r="59">
          <cell r="G59">
            <v>65.8</v>
          </cell>
        </row>
        <row r="60">
          <cell r="G60">
            <v>20</v>
          </cell>
        </row>
        <row r="63">
          <cell r="G63">
            <v>20</v>
          </cell>
        </row>
        <row r="64">
          <cell r="G64">
            <v>2524.6</v>
          </cell>
        </row>
        <row r="70">
          <cell r="G70">
            <v>947.3</v>
          </cell>
        </row>
        <row r="73">
          <cell r="G73">
            <v>1274.8</v>
          </cell>
        </row>
        <row r="76">
          <cell r="G76">
            <v>35</v>
          </cell>
        </row>
        <row r="82">
          <cell r="G82">
            <v>12</v>
          </cell>
        </row>
        <row r="85">
          <cell r="G85">
            <v>80</v>
          </cell>
        </row>
        <row r="88">
          <cell r="G88">
            <v>6</v>
          </cell>
        </row>
        <row r="91">
          <cell r="G91">
            <v>162.30000000000001</v>
          </cell>
        </row>
        <row r="94">
          <cell r="G94">
            <v>7.2</v>
          </cell>
        </row>
        <row r="96">
          <cell r="G96">
            <v>46.5</v>
          </cell>
        </row>
        <row r="102">
          <cell r="G102">
            <v>46.5</v>
          </cell>
        </row>
        <row r="107">
          <cell r="G107">
            <v>140</v>
          </cell>
        </row>
        <row r="114">
          <cell r="G114">
            <v>33833.9</v>
          </cell>
        </row>
        <row r="118">
          <cell r="G118">
            <v>46</v>
          </cell>
        </row>
        <row r="120">
          <cell r="G120">
            <v>50593.4</v>
          </cell>
        </row>
        <row r="124">
          <cell r="G124">
            <v>14779.5</v>
          </cell>
        </row>
        <row r="127">
          <cell r="G127">
            <v>1229.8</v>
          </cell>
        </row>
        <row r="130">
          <cell r="G130">
            <v>381.9</v>
          </cell>
        </row>
        <row r="134">
          <cell r="G134">
            <v>700</v>
          </cell>
        </row>
        <row r="137">
          <cell r="G137">
            <v>899.7</v>
          </cell>
        </row>
        <row r="140">
          <cell r="G140">
            <v>9916</v>
          </cell>
        </row>
        <row r="144">
          <cell r="G144">
            <v>0</v>
          </cell>
        </row>
        <row r="147">
          <cell r="G147">
            <v>500</v>
          </cell>
        </row>
        <row r="150">
          <cell r="G150">
            <v>50</v>
          </cell>
        </row>
        <row r="154">
          <cell r="G154">
            <v>16024.9</v>
          </cell>
        </row>
        <row r="157">
          <cell r="G157">
            <v>4308.6000000000004</v>
          </cell>
        </row>
        <row r="160">
          <cell r="G160">
            <v>1500</v>
          </cell>
        </row>
        <row r="163">
          <cell r="G163">
            <v>303</v>
          </cell>
        </row>
        <row r="168">
          <cell r="G168">
            <v>61.8</v>
          </cell>
        </row>
        <row r="169">
          <cell r="G169">
            <v>841.3</v>
          </cell>
        </row>
        <row r="172">
          <cell r="G172">
            <v>738.8</v>
          </cell>
        </row>
        <row r="175">
          <cell r="G175">
            <v>102.5</v>
          </cell>
        </row>
        <row r="178">
          <cell r="G178">
            <v>5348.9</v>
          </cell>
        </row>
        <row r="180">
          <cell r="G180">
            <v>5348.9</v>
          </cell>
        </row>
        <row r="182">
          <cell r="G182">
            <v>2689.7</v>
          </cell>
        </row>
        <row r="184">
          <cell r="G184">
            <v>2689.7</v>
          </cell>
        </row>
        <row r="191">
          <cell r="G191">
            <v>333.1</v>
          </cell>
        </row>
        <row r="195">
          <cell r="G195">
            <v>1040.0999999999999</v>
          </cell>
        </row>
        <row r="200">
          <cell r="G200">
            <v>545.29999999999995</v>
          </cell>
        </row>
        <row r="205">
          <cell r="G205">
            <v>692.4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июль"/>
      <sheetName val="роспись"/>
      <sheetName val="ведомст.структ"/>
      <sheetName val="СРП(Д)"/>
      <sheetName val="прилож 4"/>
    </sheetNames>
    <sheetDataSet>
      <sheetData sheetId="0" refreshError="1"/>
      <sheetData sheetId="1" refreshError="1"/>
      <sheetData sheetId="2" refreshError="1"/>
      <sheetData sheetId="3" refreshError="1">
        <row r="10">
          <cell r="H10">
            <v>753.2</v>
          </cell>
        </row>
        <row r="22">
          <cell r="H22">
            <v>8080.0000000000009</v>
          </cell>
        </row>
        <row r="37">
          <cell r="H37">
            <v>12.7</v>
          </cell>
        </row>
        <row r="63">
          <cell r="H63">
            <v>5320</v>
          </cell>
        </row>
        <row r="68">
          <cell r="H68">
            <v>668</v>
          </cell>
        </row>
        <row r="70">
          <cell r="H70">
            <v>796</v>
          </cell>
        </row>
        <row r="75">
          <cell r="H75">
            <v>204</v>
          </cell>
        </row>
        <row r="79">
          <cell r="H79">
            <v>1077.7</v>
          </cell>
        </row>
        <row r="84">
          <cell r="H84">
            <v>552.70000000000005</v>
          </cell>
        </row>
        <row r="96">
          <cell r="H96">
            <v>228.1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view="pageBreakPreview" zoomScale="115" zoomScaleSheetLayoutView="115" workbookViewId="0">
      <selection activeCell="C17" sqref="C17"/>
    </sheetView>
  </sheetViews>
  <sheetFormatPr defaultColWidth="8.7109375" defaultRowHeight="12.75"/>
  <cols>
    <col min="1" max="1" width="17" style="13" customWidth="1"/>
    <col min="2" max="2" width="10.140625" style="13" customWidth="1"/>
    <col min="3" max="3" width="10.140625" style="13" bestFit="1" customWidth="1"/>
    <col min="4" max="4" width="9.140625" style="15" bestFit="1" customWidth="1"/>
    <col min="5" max="5" width="5.140625" style="14" bestFit="1" customWidth="1"/>
    <col min="6" max="6" width="6.85546875" style="14" bestFit="1" customWidth="1"/>
    <col min="7" max="7" width="8.5703125" style="13" customWidth="1"/>
    <col min="8" max="8" width="15.7109375" style="12" customWidth="1"/>
    <col min="9" max="9" width="13.140625" style="11" bestFit="1" customWidth="1"/>
    <col min="10" max="10" width="13.5703125" style="11" bestFit="1" customWidth="1"/>
    <col min="11" max="16384" width="8.7109375" style="11"/>
  </cols>
  <sheetData>
    <row r="1" spans="1:10">
      <c r="A1" s="30" t="s">
        <v>136</v>
      </c>
      <c r="F1" s="606"/>
      <c r="G1" s="607"/>
      <c r="H1" s="607"/>
    </row>
    <row r="2" spans="1:10" ht="13.5" thickBot="1">
      <c r="A2" s="30"/>
      <c r="F2" s="74"/>
      <c r="G2" s="29"/>
      <c r="H2" s="29"/>
    </row>
    <row r="3" spans="1:10" ht="13.5" thickBot="1">
      <c r="A3" s="71" t="s">
        <v>126</v>
      </c>
      <c r="B3" s="71" t="s">
        <v>125</v>
      </c>
      <c r="C3" s="71" t="s">
        <v>124</v>
      </c>
      <c r="D3" s="73" t="s">
        <v>123</v>
      </c>
      <c r="E3" s="72" t="s">
        <v>122</v>
      </c>
      <c r="F3" s="72" t="s">
        <v>121</v>
      </c>
      <c r="G3" s="71" t="s">
        <v>120</v>
      </c>
      <c r="H3" s="70" t="s">
        <v>91</v>
      </c>
    </row>
    <row r="4" spans="1:10">
      <c r="A4" s="69" t="s">
        <v>128</v>
      </c>
      <c r="B4" s="57">
        <v>1</v>
      </c>
      <c r="C4" s="57">
        <v>24</v>
      </c>
      <c r="D4" s="59">
        <v>870</v>
      </c>
      <c r="E4" s="58"/>
      <c r="F4" s="58">
        <v>0.1</v>
      </c>
      <c r="G4" s="57">
        <v>12</v>
      </c>
      <c r="H4" s="56">
        <f>B4*(2+E4+F4)*(C4*D4)*G4</f>
        <v>526176</v>
      </c>
      <c r="I4" s="16"/>
    </row>
    <row r="5" spans="1:10">
      <c r="A5" s="68" t="s">
        <v>128</v>
      </c>
      <c r="B5" s="55"/>
      <c r="C5" s="52"/>
      <c r="D5" s="54">
        <v>0.26200000000000001</v>
      </c>
      <c r="E5" s="33"/>
      <c r="F5" s="33"/>
      <c r="G5" s="20">
        <v>12</v>
      </c>
      <c r="H5" s="53">
        <f>H4*D5</f>
        <v>137858.11199999999</v>
      </c>
      <c r="I5" s="16"/>
      <c r="J5" s="18">
        <f>H4+H5</f>
        <v>664034.11199999996</v>
      </c>
    </row>
    <row r="6" spans="1:10">
      <c r="A6" s="28" t="s">
        <v>127</v>
      </c>
      <c r="B6" s="20">
        <v>1</v>
      </c>
      <c r="C6" s="52">
        <v>18</v>
      </c>
      <c r="D6" s="22">
        <v>870</v>
      </c>
      <c r="E6" s="33">
        <v>0.1</v>
      </c>
      <c r="F6" s="33">
        <v>0.1</v>
      </c>
      <c r="G6" s="20">
        <v>12</v>
      </c>
      <c r="H6" s="50">
        <f>B6*(2+E6+F6)*(C6*D6)*G6</f>
        <v>413424</v>
      </c>
      <c r="I6" s="16"/>
      <c r="J6" s="16"/>
    </row>
    <row r="7" spans="1:10">
      <c r="A7" s="23" t="s">
        <v>133</v>
      </c>
      <c r="B7" s="20">
        <v>1</v>
      </c>
      <c r="C7" s="52">
        <v>18</v>
      </c>
      <c r="D7" s="22">
        <v>870</v>
      </c>
      <c r="E7" s="33">
        <v>0.1</v>
      </c>
      <c r="F7" s="33">
        <v>0.1</v>
      </c>
      <c r="G7" s="20">
        <v>12</v>
      </c>
      <c r="H7" s="50">
        <f>B7*(2+E7+F7)*(C7*D7)*G7</f>
        <v>413424</v>
      </c>
      <c r="I7" s="16"/>
      <c r="J7" s="16"/>
    </row>
    <row r="8" spans="1:10">
      <c r="A8" s="46" t="s">
        <v>113</v>
      </c>
      <c r="B8" s="42">
        <v>1</v>
      </c>
      <c r="C8" s="45">
        <v>12</v>
      </c>
      <c r="D8" s="22">
        <v>870</v>
      </c>
      <c r="E8" s="43"/>
      <c r="F8" s="43">
        <v>0.1</v>
      </c>
      <c r="G8" s="20">
        <v>12</v>
      </c>
      <c r="H8" s="50">
        <f>B8*(2+E8+F8)*(C8*D8)*G8</f>
        <v>263088</v>
      </c>
      <c r="I8" s="16"/>
    </row>
    <row r="9" spans="1:10">
      <c r="A9" s="23" t="s">
        <v>134</v>
      </c>
      <c r="B9" s="20">
        <f>SUM(B6:B8)</f>
        <v>3</v>
      </c>
      <c r="C9" s="52"/>
      <c r="D9" s="22"/>
      <c r="E9" s="33"/>
      <c r="F9" s="33"/>
      <c r="G9" s="20"/>
      <c r="H9" s="50">
        <f>SUM(H6:H8)</f>
        <v>1089936</v>
      </c>
      <c r="I9" s="16"/>
      <c r="J9" s="16"/>
    </row>
    <row r="10" spans="1:10" ht="13.5" thickBot="1">
      <c r="A10" s="23" t="s">
        <v>134</v>
      </c>
      <c r="B10" s="40"/>
      <c r="C10" s="39"/>
      <c r="D10" s="38">
        <v>0.26200000000000001</v>
      </c>
      <c r="E10" s="37"/>
      <c r="F10" s="37"/>
      <c r="G10" s="36"/>
      <c r="H10" s="35">
        <f>H9*D10</f>
        <v>285563.23200000002</v>
      </c>
      <c r="I10" s="16"/>
      <c r="J10" s="18">
        <f>H9+H10</f>
        <v>1375499.2320000001</v>
      </c>
    </row>
    <row r="11" spans="1:10">
      <c r="A11" s="28"/>
      <c r="B11" s="20"/>
      <c r="C11" s="52"/>
      <c r="D11" s="22"/>
      <c r="E11" s="33"/>
      <c r="F11" s="33"/>
      <c r="G11" s="20"/>
      <c r="H11" s="50"/>
      <c r="I11" s="16"/>
      <c r="J11" s="16"/>
    </row>
    <row r="12" spans="1:10" ht="13.5" thickBot="1">
      <c r="A12" s="67"/>
      <c r="B12" s="40"/>
      <c r="C12" s="39"/>
      <c r="D12" s="38"/>
      <c r="E12" s="37"/>
      <c r="F12" s="37"/>
      <c r="G12" s="36"/>
      <c r="H12" s="35"/>
      <c r="I12" s="16"/>
      <c r="J12" s="18"/>
    </row>
    <row r="13" spans="1:10" ht="13.5" thickBot="1">
      <c r="B13" s="29"/>
      <c r="C13" s="66"/>
      <c r="E13" s="34"/>
      <c r="F13" s="34"/>
      <c r="G13" s="29"/>
      <c r="I13" s="16"/>
    </row>
    <row r="14" spans="1:10" ht="13.5" thickBot="1">
      <c r="A14" s="65" t="s">
        <v>126</v>
      </c>
      <c r="B14" s="65" t="s">
        <v>125</v>
      </c>
      <c r="C14" s="65" t="s">
        <v>124</v>
      </c>
      <c r="D14" s="64" t="s">
        <v>123</v>
      </c>
      <c r="E14" s="63" t="s">
        <v>122</v>
      </c>
      <c r="F14" s="63" t="s">
        <v>121</v>
      </c>
      <c r="G14" s="62" t="s">
        <v>120</v>
      </c>
      <c r="H14" s="61" t="s">
        <v>91</v>
      </c>
      <c r="I14" s="16"/>
    </row>
    <row r="15" spans="1:10">
      <c r="A15" s="60" t="s">
        <v>119</v>
      </c>
      <c r="B15" s="57">
        <v>1</v>
      </c>
      <c r="C15" s="57">
        <v>24</v>
      </c>
      <c r="D15" s="59">
        <v>870</v>
      </c>
      <c r="E15" s="58">
        <v>0.2</v>
      </c>
      <c r="F15" s="58">
        <v>0.25</v>
      </c>
      <c r="G15" s="57">
        <v>12</v>
      </c>
      <c r="H15" s="56">
        <f>(B15*2+E15+F15)*(C15*D15)*G15</f>
        <v>613872.00000000012</v>
      </c>
      <c r="I15" s="16"/>
    </row>
    <row r="16" spans="1:10" ht="15.75" thickBot="1">
      <c r="A16" s="40" t="s">
        <v>119</v>
      </c>
      <c r="B16" s="40"/>
      <c r="C16" s="39"/>
      <c r="D16" s="38">
        <v>0.26200000000000001</v>
      </c>
      <c r="E16" s="37"/>
      <c r="F16" s="37"/>
      <c r="G16" s="36">
        <v>12</v>
      </c>
      <c r="H16" s="78">
        <f>H15*D16</f>
        <v>160834.46400000004</v>
      </c>
      <c r="I16" s="16"/>
      <c r="J16" s="18">
        <f>H16+H15</f>
        <v>774706.46400000015</v>
      </c>
    </row>
    <row r="17" spans="1:10" ht="15">
      <c r="A17" s="74"/>
      <c r="B17" s="87"/>
      <c r="C17" s="81"/>
      <c r="D17" s="88"/>
      <c r="E17" s="83"/>
      <c r="F17" s="83"/>
      <c r="G17" s="84"/>
      <c r="H17" s="89"/>
      <c r="I17" s="16"/>
      <c r="J17" s="18"/>
    </row>
    <row r="18" spans="1:10">
      <c r="A18" s="30" t="s">
        <v>118</v>
      </c>
      <c r="B18" s="57">
        <v>1</v>
      </c>
      <c r="C18" s="77">
        <v>20</v>
      </c>
      <c r="D18" s="59">
        <v>870</v>
      </c>
      <c r="E18" s="58">
        <v>0.2</v>
      </c>
      <c r="F18" s="58">
        <v>0.15</v>
      </c>
      <c r="G18" s="57">
        <v>12</v>
      </c>
      <c r="H18" s="56">
        <f t="shared" ref="H18:H24" si="0">B18*(2+E18+F18)*(C18*D18)*G18</f>
        <v>490680</v>
      </c>
      <c r="I18" s="16"/>
    </row>
    <row r="19" spans="1:10">
      <c r="A19" s="28" t="s">
        <v>117</v>
      </c>
      <c r="B19" s="42">
        <v>1</v>
      </c>
      <c r="C19" s="45">
        <v>20</v>
      </c>
      <c r="D19" s="44">
        <v>870</v>
      </c>
      <c r="E19" s="43">
        <v>0.2</v>
      </c>
      <c r="F19" s="43">
        <v>0.1</v>
      </c>
      <c r="G19" s="20">
        <v>12</v>
      </c>
      <c r="H19" s="50">
        <f>B19*(2+E19+F19)*(C19*D19)*G19</f>
        <v>480240.00000000012</v>
      </c>
      <c r="I19" s="16"/>
    </row>
    <row r="20" spans="1:10">
      <c r="A20" s="46" t="s">
        <v>116</v>
      </c>
      <c r="B20" s="42">
        <v>1</v>
      </c>
      <c r="C20" s="45">
        <v>18</v>
      </c>
      <c r="D20" s="44">
        <v>870</v>
      </c>
      <c r="E20" s="43">
        <v>0.2</v>
      </c>
      <c r="F20" s="43">
        <v>0.1</v>
      </c>
      <c r="G20" s="20">
        <v>12</v>
      </c>
      <c r="H20" s="50">
        <f t="shared" si="0"/>
        <v>432216.00000000012</v>
      </c>
      <c r="I20" s="16"/>
      <c r="J20" s="16"/>
    </row>
    <row r="21" spans="1:10">
      <c r="A21" s="46" t="s">
        <v>116</v>
      </c>
      <c r="B21" s="42">
        <v>1</v>
      </c>
      <c r="C21" s="45">
        <v>18</v>
      </c>
      <c r="D21" s="44">
        <v>870</v>
      </c>
      <c r="E21" s="43">
        <v>0.2</v>
      </c>
      <c r="F21" s="43">
        <v>0.15</v>
      </c>
      <c r="G21" s="20">
        <v>12</v>
      </c>
      <c r="H21" s="50">
        <f>B21*(2+E21+F21)*(C21*D21)*G21</f>
        <v>441612</v>
      </c>
      <c r="I21" s="16"/>
      <c r="J21" s="16"/>
    </row>
    <row r="22" spans="1:10">
      <c r="A22" s="46" t="s">
        <v>115</v>
      </c>
      <c r="B22" s="42">
        <v>1</v>
      </c>
      <c r="C22" s="45">
        <v>16</v>
      </c>
      <c r="D22" s="22">
        <v>870</v>
      </c>
      <c r="E22" s="51">
        <f>(10*0.5)%</f>
        <v>0.05</v>
      </c>
      <c r="F22" s="43">
        <v>0.15</v>
      </c>
      <c r="G22" s="20">
        <v>12</v>
      </c>
      <c r="H22" s="50">
        <f t="shared" si="0"/>
        <v>367487.99999999994</v>
      </c>
      <c r="I22" s="16"/>
    </row>
    <row r="23" spans="1:10">
      <c r="A23" s="46" t="s">
        <v>115</v>
      </c>
      <c r="B23" s="42">
        <v>1</v>
      </c>
      <c r="C23" s="45">
        <v>16</v>
      </c>
      <c r="D23" s="22">
        <v>870</v>
      </c>
      <c r="E23" s="51">
        <v>0.2</v>
      </c>
      <c r="F23" s="43">
        <v>0.25</v>
      </c>
      <c r="G23" s="20">
        <v>12</v>
      </c>
      <c r="H23" s="50">
        <f>B23*(2+E23+F23)*(C23*D23)*G23</f>
        <v>409248</v>
      </c>
      <c r="I23" s="16"/>
    </row>
    <row r="24" spans="1:10">
      <c r="A24" s="46" t="s">
        <v>114</v>
      </c>
      <c r="B24" s="42">
        <v>1</v>
      </c>
      <c r="C24" s="45">
        <v>14</v>
      </c>
      <c r="D24" s="22">
        <v>870</v>
      </c>
      <c r="E24" s="43"/>
      <c r="F24" s="43">
        <v>0.1</v>
      </c>
      <c r="G24" s="20">
        <v>12</v>
      </c>
      <c r="H24" s="50">
        <f t="shared" si="0"/>
        <v>306936</v>
      </c>
      <c r="I24" s="16"/>
    </row>
    <row r="25" spans="1:10">
      <c r="A25" s="46" t="s">
        <v>112</v>
      </c>
      <c r="B25" s="49">
        <v>2</v>
      </c>
      <c r="C25" s="45"/>
      <c r="D25" s="48">
        <f>20760+9100</f>
        <v>29860</v>
      </c>
      <c r="E25" s="43"/>
      <c r="F25" s="43"/>
      <c r="G25" s="20">
        <v>12</v>
      </c>
      <c r="H25" s="47">
        <f>D25*G25</f>
        <v>358320</v>
      </c>
      <c r="I25" s="16"/>
    </row>
    <row r="26" spans="1:10">
      <c r="A26" s="46"/>
      <c r="B26" s="49"/>
      <c r="C26" s="45"/>
      <c r="D26" s="75"/>
      <c r="E26" s="43"/>
      <c r="F26" s="43"/>
      <c r="G26" s="42"/>
      <c r="H26" s="76">
        <f>SUM(H18:H25)</f>
        <v>3286740</v>
      </c>
      <c r="I26" s="16"/>
    </row>
    <row r="27" spans="1:10" ht="13.5" thickBot="1">
      <c r="A27" s="41" t="s">
        <v>110</v>
      </c>
      <c r="B27" s="40"/>
      <c r="C27" s="39"/>
      <c r="D27" s="38">
        <v>0.26200000000000001</v>
      </c>
      <c r="E27" s="37"/>
      <c r="F27" s="37"/>
      <c r="G27" s="36">
        <v>12</v>
      </c>
      <c r="H27" s="86">
        <f>H26*D27</f>
        <v>861125.88</v>
      </c>
      <c r="I27" s="16"/>
      <c r="J27" s="18">
        <f>H27+H26</f>
        <v>4147865.88</v>
      </c>
    </row>
    <row r="28" spans="1:10">
      <c r="A28" s="79"/>
      <c r="B28" s="80"/>
      <c r="C28" s="81"/>
      <c r="D28" s="82"/>
      <c r="E28" s="83"/>
      <c r="F28" s="83"/>
      <c r="G28" s="84"/>
      <c r="H28" s="85"/>
      <c r="I28" s="16"/>
    </row>
    <row r="29" spans="1:10">
      <c r="A29" s="46" t="s">
        <v>111</v>
      </c>
      <c r="B29" s="42"/>
      <c r="C29" s="45"/>
      <c r="D29" s="44"/>
      <c r="E29" s="43"/>
      <c r="F29" s="43"/>
      <c r="G29" s="42"/>
      <c r="H29" s="50">
        <f>H30+H31</f>
        <v>396575.92800000001</v>
      </c>
      <c r="I29" s="16"/>
    </row>
    <row r="30" spans="1:10">
      <c r="A30" s="46" t="s">
        <v>114</v>
      </c>
      <c r="B30" s="42">
        <v>1</v>
      </c>
      <c r="C30" s="45">
        <v>14</v>
      </c>
      <c r="D30" s="44">
        <v>870</v>
      </c>
      <c r="E30" s="43"/>
      <c r="F30" s="43">
        <v>0.15</v>
      </c>
      <c r="G30" s="42">
        <f>12</f>
        <v>12</v>
      </c>
      <c r="H30" s="50">
        <f>B30*(2+E30+F30)*(C30*D30)*G30</f>
        <v>314244</v>
      </c>
      <c r="I30" s="16"/>
      <c r="J30" s="16"/>
    </row>
    <row r="31" spans="1:10" ht="13.5" thickBot="1">
      <c r="A31" s="41"/>
      <c r="B31" s="36"/>
      <c r="C31" s="39"/>
      <c r="D31" s="90">
        <v>0.26200000000000001</v>
      </c>
      <c r="E31" s="37"/>
      <c r="F31" s="37"/>
      <c r="G31" s="36">
        <v>12</v>
      </c>
      <c r="H31" s="86">
        <f>H30*D31</f>
        <v>82331.928</v>
      </c>
      <c r="I31" s="16"/>
      <c r="J31" s="18">
        <f>H30+H31</f>
        <v>396575.92800000001</v>
      </c>
    </row>
    <row r="32" spans="1:10">
      <c r="A32" s="91" t="s">
        <v>130</v>
      </c>
      <c r="B32" s="92"/>
      <c r="C32" s="93"/>
      <c r="D32" s="94"/>
      <c r="E32" s="95"/>
      <c r="F32" s="95"/>
      <c r="G32" s="92"/>
      <c r="H32" s="96">
        <f>H15+H26+H29</f>
        <v>4297187.9280000003</v>
      </c>
      <c r="I32" s="16"/>
      <c r="J32" s="18"/>
    </row>
    <row r="33" spans="1:10">
      <c r="A33" s="97" t="s">
        <v>131</v>
      </c>
      <c r="B33" s="98"/>
      <c r="C33" s="99"/>
      <c r="D33" s="100"/>
      <c r="E33" s="101"/>
      <c r="F33" s="101"/>
      <c r="G33" s="98"/>
      <c r="H33" s="102">
        <f>H16+H27+H31</f>
        <v>1104292.2720000001</v>
      </c>
      <c r="I33" s="16"/>
      <c r="J33" s="18">
        <f>H32+H33</f>
        <v>5401480.2000000002</v>
      </c>
    </row>
    <row r="34" spans="1:10">
      <c r="A34" s="13">
        <v>221</v>
      </c>
      <c r="C34" s="29"/>
      <c r="E34" s="34"/>
      <c r="F34" s="34"/>
      <c r="G34" s="29"/>
    </row>
    <row r="35" spans="1:10">
      <c r="A35" s="25" t="s">
        <v>137</v>
      </c>
      <c r="B35" s="24">
        <v>3000</v>
      </c>
      <c r="C35" s="20"/>
      <c r="D35" s="22"/>
      <c r="E35" s="33"/>
      <c r="F35" s="33"/>
      <c r="G35" s="20">
        <v>12</v>
      </c>
      <c r="H35" s="19">
        <f>B35*G35</f>
        <v>36000</v>
      </c>
    </row>
    <row r="36" spans="1:10">
      <c r="A36" s="25" t="s">
        <v>109</v>
      </c>
      <c r="B36" s="24">
        <v>6850</v>
      </c>
      <c r="C36" s="23"/>
      <c r="D36" s="22"/>
      <c r="E36" s="21"/>
      <c r="F36" s="21"/>
      <c r="G36" s="20">
        <v>12</v>
      </c>
      <c r="H36" s="19">
        <f>B36*G36</f>
        <v>82200</v>
      </c>
    </row>
    <row r="37" spans="1:10">
      <c r="A37" s="25" t="s">
        <v>108</v>
      </c>
      <c r="B37" s="24">
        <v>500</v>
      </c>
      <c r="C37" s="23"/>
      <c r="D37" s="22"/>
      <c r="E37" s="21"/>
      <c r="F37" s="21"/>
      <c r="G37" s="20">
        <v>12</v>
      </c>
      <c r="H37" s="19">
        <f>B37*G37</f>
        <v>6000</v>
      </c>
    </row>
    <row r="38" spans="1:10">
      <c r="A38" s="23"/>
      <c r="B38" s="24"/>
      <c r="C38" s="23"/>
      <c r="D38" s="22"/>
      <c r="E38" s="21"/>
      <c r="F38" s="21"/>
      <c r="G38" s="23"/>
      <c r="H38" s="102">
        <f>SUM(H35:H37)</f>
        <v>124200</v>
      </c>
      <c r="J38" s="16">
        <f>H39</f>
        <v>0</v>
      </c>
    </row>
    <row r="39" spans="1:10">
      <c r="A39" s="13">
        <v>222</v>
      </c>
      <c r="B39" s="26"/>
      <c r="H39" s="19"/>
    </row>
    <row r="40" spans="1:10">
      <c r="A40" s="25" t="s">
        <v>93</v>
      </c>
      <c r="B40" s="24">
        <v>6000</v>
      </c>
      <c r="C40" s="23"/>
      <c r="D40" s="22"/>
      <c r="E40" s="21"/>
      <c r="F40" s="21"/>
      <c r="G40" s="20">
        <v>12</v>
      </c>
      <c r="H40" s="19">
        <f>H41+H42</f>
        <v>72000</v>
      </c>
    </row>
    <row r="41" spans="1:10">
      <c r="A41" s="30" t="s">
        <v>135</v>
      </c>
      <c r="B41" s="26"/>
      <c r="G41" s="29">
        <v>1</v>
      </c>
      <c r="H41" s="12">
        <f>B41*G41</f>
        <v>0</v>
      </c>
    </row>
    <row r="42" spans="1:10">
      <c r="A42" s="25" t="s">
        <v>107</v>
      </c>
      <c r="B42" s="24">
        <v>6000</v>
      </c>
      <c r="C42" s="23"/>
      <c r="D42" s="22"/>
      <c r="E42" s="21"/>
      <c r="F42" s="21"/>
      <c r="G42" s="20">
        <v>12</v>
      </c>
      <c r="H42" s="19">
        <f>B42*G42</f>
        <v>72000</v>
      </c>
    </row>
    <row r="43" spans="1:10" ht="12" customHeight="1">
      <c r="A43" s="13">
        <v>223</v>
      </c>
      <c r="B43" s="26"/>
      <c r="H43" s="19"/>
    </row>
    <row r="44" spans="1:10">
      <c r="A44" s="25" t="s">
        <v>106</v>
      </c>
      <c r="B44" s="24"/>
      <c r="C44" s="23"/>
      <c r="D44" s="32">
        <v>4715</v>
      </c>
      <c r="E44" s="21"/>
      <c r="F44" s="31"/>
      <c r="G44" s="20">
        <v>12</v>
      </c>
      <c r="H44" s="12">
        <f>D44*G44</f>
        <v>56580</v>
      </c>
    </row>
    <row r="45" spans="1:10">
      <c r="A45" s="25" t="s">
        <v>105</v>
      </c>
      <c r="B45" s="24"/>
      <c r="C45" s="23"/>
      <c r="D45" s="32">
        <v>5950</v>
      </c>
      <c r="E45" s="21"/>
      <c r="F45" s="31"/>
      <c r="G45" s="20">
        <v>12</v>
      </c>
      <c r="H45" s="19">
        <f>D45*G45</f>
        <v>71400</v>
      </c>
      <c r="I45" s="16"/>
    </row>
    <row r="46" spans="1:10" ht="13.5" thickBot="1">
      <c r="B46" s="26"/>
      <c r="H46" s="19">
        <f>SUM(H44:H45)</f>
        <v>127980</v>
      </c>
      <c r="J46" s="16">
        <f>H47</f>
        <v>0</v>
      </c>
    </row>
    <row r="47" spans="1:10" ht="13.5" thickBot="1">
      <c r="A47" s="13">
        <v>225</v>
      </c>
      <c r="B47" s="26"/>
      <c r="H47" s="27"/>
    </row>
    <row r="48" spans="1:10">
      <c r="A48" s="25" t="s">
        <v>104</v>
      </c>
      <c r="B48" s="24">
        <f>40000</f>
        <v>40000</v>
      </c>
      <c r="C48" s="23"/>
      <c r="D48" s="22"/>
      <c r="E48" s="21"/>
      <c r="F48" s="21"/>
      <c r="G48" s="20">
        <v>1</v>
      </c>
      <c r="H48" s="12">
        <f>B48</f>
        <v>40000</v>
      </c>
    </row>
    <row r="49" spans="1:10">
      <c r="A49" s="25" t="s">
        <v>103</v>
      </c>
      <c r="B49" s="24">
        <f>5000*1.1</f>
        <v>5500</v>
      </c>
      <c r="C49" s="23"/>
      <c r="D49" s="22"/>
      <c r="E49" s="21"/>
      <c r="F49" s="21"/>
      <c r="G49" s="20">
        <v>12</v>
      </c>
      <c r="H49" s="19">
        <f>B49*G49</f>
        <v>66000</v>
      </c>
    </row>
    <row r="50" spans="1:10">
      <c r="A50" s="30"/>
      <c r="B50" s="26"/>
      <c r="G50" s="29"/>
      <c r="H50" s="19">
        <f>SUM(H48:H49)</f>
        <v>106000</v>
      </c>
      <c r="J50" s="16">
        <f>H51</f>
        <v>0</v>
      </c>
    </row>
    <row r="51" spans="1:10">
      <c r="A51" s="13">
        <v>226</v>
      </c>
      <c r="B51" s="26"/>
    </row>
    <row r="52" spans="1:10">
      <c r="A52" s="25" t="s">
        <v>102</v>
      </c>
      <c r="B52" s="24">
        <f>10000</f>
        <v>10000</v>
      </c>
      <c r="C52" s="23"/>
      <c r="D52" s="22"/>
      <c r="E52" s="21"/>
      <c r="F52" s="21"/>
      <c r="G52" s="20">
        <v>12</v>
      </c>
      <c r="H52" s="19">
        <f>B52*G52</f>
        <v>120000</v>
      </c>
    </row>
    <row r="53" spans="1:10">
      <c r="A53" s="25" t="s">
        <v>102</v>
      </c>
      <c r="B53" s="24">
        <v>0</v>
      </c>
      <c r="C53" s="23"/>
      <c r="D53" s="22"/>
      <c r="E53" s="21"/>
      <c r="F53" s="21"/>
      <c r="G53" s="20">
        <v>7</v>
      </c>
      <c r="H53" s="19">
        <f t="shared" ref="H53:H58" si="1">B53*G53</f>
        <v>0</v>
      </c>
    </row>
    <row r="54" spans="1:10">
      <c r="A54" s="25" t="s">
        <v>101</v>
      </c>
      <c r="B54" s="24">
        <v>2310</v>
      </c>
      <c r="C54" s="23"/>
      <c r="D54" s="22"/>
      <c r="E54" s="21"/>
      <c r="F54" s="21"/>
      <c r="G54" s="20">
        <v>12</v>
      </c>
      <c r="H54" s="19">
        <f t="shared" si="1"/>
        <v>27720</v>
      </c>
    </row>
    <row r="55" spans="1:10">
      <c r="A55" s="25" t="s">
        <v>100</v>
      </c>
      <c r="B55" s="24">
        <v>10230</v>
      </c>
      <c r="C55" s="23"/>
      <c r="D55" s="22"/>
      <c r="E55" s="21"/>
      <c r="F55" s="21"/>
      <c r="G55" s="20">
        <v>12</v>
      </c>
      <c r="H55" s="19">
        <f>B55*G55+4400+25000-100</f>
        <v>152060</v>
      </c>
    </row>
    <row r="56" spans="1:10">
      <c r="A56" s="25" t="s">
        <v>99</v>
      </c>
      <c r="B56" s="24">
        <v>5500</v>
      </c>
      <c r="C56" s="23"/>
      <c r="D56" s="22"/>
      <c r="E56" s="21"/>
      <c r="F56" s="21"/>
      <c r="G56" s="20">
        <v>12</v>
      </c>
      <c r="H56" s="19">
        <f t="shared" si="1"/>
        <v>66000</v>
      </c>
    </row>
    <row r="57" spans="1:10">
      <c r="A57" s="25" t="s">
        <v>98</v>
      </c>
      <c r="B57" s="24">
        <v>4400</v>
      </c>
      <c r="C57" s="23"/>
      <c r="D57" s="22"/>
      <c r="E57" s="21"/>
      <c r="F57" s="21"/>
      <c r="G57" s="20">
        <v>1</v>
      </c>
      <c r="H57" s="19">
        <f t="shared" si="1"/>
        <v>4400</v>
      </c>
    </row>
    <row r="58" spans="1:10" ht="13.5" thickBot="1">
      <c r="A58" s="28" t="s">
        <v>97</v>
      </c>
      <c r="B58" s="24">
        <f>200000</f>
        <v>200000</v>
      </c>
      <c r="C58" s="23"/>
      <c r="D58" s="22"/>
      <c r="E58" s="21"/>
      <c r="F58" s="21"/>
      <c r="G58" s="20">
        <v>1</v>
      </c>
      <c r="H58" s="19">
        <f t="shared" si="1"/>
        <v>200000</v>
      </c>
    </row>
    <row r="59" spans="1:10" ht="13.5" thickBot="1">
      <c r="B59" s="26"/>
      <c r="H59" s="27">
        <f>SUM(H52:H58)</f>
        <v>570180</v>
      </c>
      <c r="J59" s="16">
        <f>H60</f>
        <v>0</v>
      </c>
    </row>
    <row r="60" spans="1:10" ht="13.5" thickBot="1">
      <c r="A60" s="13">
        <v>290</v>
      </c>
      <c r="B60" s="26"/>
      <c r="H60" s="27"/>
    </row>
    <row r="61" spans="1:10">
      <c r="A61" s="25" t="s">
        <v>96</v>
      </c>
      <c r="B61" s="24">
        <v>20000</v>
      </c>
      <c r="C61" s="23"/>
      <c r="D61" s="22"/>
      <c r="E61" s="21"/>
      <c r="F61" s="21"/>
      <c r="G61" s="20">
        <v>1</v>
      </c>
      <c r="H61" s="12">
        <f>B61*G61</f>
        <v>20000</v>
      </c>
      <c r="J61" s="16">
        <f>H62</f>
        <v>0</v>
      </c>
    </row>
    <row r="62" spans="1:10">
      <c r="A62" s="13">
        <v>310</v>
      </c>
      <c r="B62" s="26"/>
      <c r="H62" s="19"/>
      <c r="I62" s="11">
        <v>200</v>
      </c>
      <c r="J62" s="18">
        <f>SUM(J38:J61)</f>
        <v>0</v>
      </c>
    </row>
    <row r="63" spans="1:10">
      <c r="A63" s="25" t="s">
        <v>95</v>
      </c>
      <c r="B63" s="103">
        <v>190000</v>
      </c>
      <c r="C63" s="23"/>
      <c r="D63" s="22"/>
      <c r="E63" s="21"/>
      <c r="F63" s="21"/>
      <c r="G63" s="20">
        <v>1</v>
      </c>
      <c r="H63" s="12">
        <f>B63*G63</f>
        <v>190000</v>
      </c>
      <c r="J63" s="16">
        <f>H64</f>
        <v>0</v>
      </c>
    </row>
    <row r="64" spans="1:10">
      <c r="A64" s="13">
        <v>340</v>
      </c>
      <c r="B64" s="26"/>
      <c r="H64" s="19"/>
    </row>
    <row r="65" spans="1:10">
      <c r="A65" s="25" t="s">
        <v>94</v>
      </c>
      <c r="B65" s="24">
        <v>210800</v>
      </c>
      <c r="C65" s="23"/>
      <c r="D65" s="22"/>
      <c r="E65" s="21"/>
      <c r="F65" s="21"/>
      <c r="G65" s="20">
        <v>1</v>
      </c>
      <c r="H65" s="12">
        <f>B65*G65</f>
        <v>210800</v>
      </c>
      <c r="J65" s="16">
        <f>H66</f>
        <v>0</v>
      </c>
    </row>
    <row r="66" spans="1:10">
      <c r="B66" s="17"/>
      <c r="H66" s="19"/>
      <c r="I66" s="11">
        <v>300</v>
      </c>
      <c r="J66" s="18">
        <f>SUM(J63:J65)</f>
        <v>0</v>
      </c>
    </row>
    <row r="67" spans="1:10">
      <c r="B67" s="17"/>
    </row>
    <row r="68" spans="1:10">
      <c r="B68" s="17"/>
      <c r="I68" s="11" t="s">
        <v>93</v>
      </c>
      <c r="J68" s="16">
        <f>J7+J10+J16+J31+J62+J66</f>
        <v>2546781.6240000003</v>
      </c>
    </row>
    <row r="70" spans="1:10">
      <c r="J70" s="16">
        <f>J68/1000</f>
        <v>2546.7816240000002</v>
      </c>
    </row>
    <row r="72" spans="1:10">
      <c r="J72" s="16">
        <f>6461.3-J70</f>
        <v>3914.518376</v>
      </c>
    </row>
  </sheetData>
  <mergeCells count="1">
    <mergeCell ref="F1:H1"/>
  </mergeCells>
  <phoneticPr fontId="0" type="noConversion"/>
  <pageMargins left="0.74803149606299213" right="0.74803149606299213" top="0.19685039370078741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S77"/>
  <sheetViews>
    <sheetView zoomScale="87" zoomScaleNormal="87" workbookViewId="0">
      <pane xSplit="2" ySplit="10" topLeftCell="C34" activePane="bottomRight" state="frozen"/>
      <selection activeCell="A5" sqref="A5"/>
      <selection pane="topRight" activeCell="C5" sqref="C5"/>
      <selection pane="bottomLeft" activeCell="A9" sqref="A9"/>
      <selection pane="bottomRight" activeCell="J56" sqref="J56"/>
    </sheetView>
  </sheetViews>
  <sheetFormatPr defaultColWidth="9.140625" defaultRowHeight="12.75"/>
  <cols>
    <col min="1" max="1" width="9.140625" style="1" customWidth="1"/>
    <col min="2" max="2" width="38.5703125" style="1" customWidth="1"/>
    <col min="3" max="3" width="51.42578125" style="2" customWidth="1"/>
    <col min="4" max="4" width="11.7109375" style="6" hidden="1" customWidth="1"/>
    <col min="5" max="5" width="10.85546875" style="2" hidden="1" customWidth="1"/>
    <col min="6" max="6" width="13.42578125" style="2" hidden="1" customWidth="1"/>
    <col min="7" max="7" width="15.85546875" style="2" hidden="1" customWidth="1"/>
    <col min="8" max="8" width="14" style="2" hidden="1" customWidth="1"/>
    <col min="9" max="9" width="16.5703125" style="2" hidden="1" customWidth="1"/>
    <col min="10" max="10" width="15.42578125" style="2" customWidth="1"/>
    <col min="11" max="11" width="12.7109375" style="2" hidden="1" customWidth="1"/>
    <col min="12" max="12" width="12" style="2" hidden="1" customWidth="1"/>
    <col min="13" max="13" width="10.140625" style="2" hidden="1" customWidth="1"/>
    <col min="14" max="16" width="0" style="2" hidden="1" customWidth="1"/>
    <col min="17" max="17" width="9.140625" style="2"/>
    <col min="18" max="18" width="10.140625" style="2" bestFit="1" customWidth="1"/>
    <col min="19" max="19" width="9.140625" style="283"/>
    <col min="20" max="16384" width="9.140625" style="2"/>
  </cols>
  <sheetData>
    <row r="1" spans="1:19" ht="21" customHeight="1">
      <c r="A1" s="120" t="s">
        <v>214</v>
      </c>
      <c r="B1" s="121"/>
      <c r="C1" s="610" t="s">
        <v>303</v>
      </c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</row>
    <row r="2" spans="1:19" ht="21" customHeight="1">
      <c r="A2" s="117"/>
      <c r="B2" s="122"/>
      <c r="C2" s="122"/>
      <c r="D2" s="122"/>
      <c r="E2" s="122"/>
      <c r="F2" s="122"/>
      <c r="G2" s="122"/>
      <c r="H2" s="122"/>
      <c r="I2" s="122"/>
      <c r="J2" s="123" t="s">
        <v>384</v>
      </c>
      <c r="K2" s="122"/>
      <c r="L2" s="122"/>
      <c r="M2" s="122"/>
      <c r="N2" s="122"/>
      <c r="O2" s="122"/>
      <c r="P2" s="122"/>
    </row>
    <row r="3" spans="1:19" ht="21" customHeight="1">
      <c r="A3" s="117"/>
      <c r="B3" s="122"/>
      <c r="C3" s="122"/>
      <c r="D3" s="122"/>
      <c r="E3" s="122"/>
      <c r="F3" s="122"/>
      <c r="G3" s="122"/>
      <c r="H3" s="122"/>
      <c r="I3" s="122"/>
      <c r="J3" s="123" t="s">
        <v>385</v>
      </c>
      <c r="K3" s="122"/>
      <c r="L3" s="122"/>
      <c r="M3" s="122"/>
      <c r="N3" s="122"/>
      <c r="O3" s="122"/>
      <c r="P3" s="122"/>
    </row>
    <row r="4" spans="1:19" ht="22.5" customHeight="1">
      <c r="A4" s="117"/>
      <c r="B4" s="117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</row>
    <row r="5" spans="1:19" ht="22.5" customHeight="1">
      <c r="A5" s="608" t="s">
        <v>377</v>
      </c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</row>
    <row r="6" spans="1:19" ht="27.6" customHeight="1">
      <c r="A6" s="608" t="s">
        <v>386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</row>
    <row r="7" spans="1:19" ht="27.6" customHeight="1" thickBo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609" t="s">
        <v>373</v>
      </c>
      <c r="P7" s="609"/>
    </row>
    <row r="8" spans="1:19" s="7" customFormat="1" ht="61.5" customHeight="1" thickBot="1">
      <c r="A8" s="125" t="s">
        <v>0</v>
      </c>
      <c r="B8" s="125" t="s">
        <v>11</v>
      </c>
      <c r="C8" s="126" t="s">
        <v>1</v>
      </c>
      <c r="D8" s="127" t="s">
        <v>211</v>
      </c>
      <c r="E8" s="127" t="s">
        <v>216</v>
      </c>
      <c r="F8" s="127" t="s">
        <v>212</v>
      </c>
      <c r="G8" s="127" t="s">
        <v>275</v>
      </c>
      <c r="H8" s="127" t="s">
        <v>299</v>
      </c>
      <c r="I8" s="127" t="s">
        <v>249</v>
      </c>
      <c r="J8" s="127" t="s">
        <v>301</v>
      </c>
      <c r="K8" s="128" t="s">
        <v>246</v>
      </c>
      <c r="L8" s="129" t="s">
        <v>250</v>
      </c>
      <c r="M8" s="130" t="s">
        <v>369</v>
      </c>
      <c r="N8" s="130" t="s">
        <v>370</v>
      </c>
      <c r="O8" s="130" t="s">
        <v>371</v>
      </c>
      <c r="P8" s="130" t="s">
        <v>372</v>
      </c>
      <c r="S8" s="284"/>
    </row>
    <row r="9" spans="1:19" s="3" customFormat="1" ht="16.5" thickBot="1">
      <c r="A9" s="131" t="s">
        <v>2</v>
      </c>
      <c r="B9" s="132" t="s">
        <v>16</v>
      </c>
      <c r="C9" s="133" t="s">
        <v>315</v>
      </c>
      <c r="D9" s="134" t="e">
        <f>D10+D21+D24+D31+D35</f>
        <v>#REF!</v>
      </c>
      <c r="E9" s="134" t="e">
        <f>E10+E21+E24+E31+E35</f>
        <v>#REF!</v>
      </c>
      <c r="F9" s="134" t="e">
        <f>F10+F21+F24+F31+F35</f>
        <v>#REF!</v>
      </c>
      <c r="G9" s="134">
        <f t="shared" ref="G9:P9" si="0">G10+G21+G24+G35+G43</f>
        <v>29725.4</v>
      </c>
      <c r="H9" s="134">
        <f t="shared" si="0"/>
        <v>17464.399999999998</v>
      </c>
      <c r="I9" s="134">
        <f t="shared" si="0"/>
        <v>29091.899999999998</v>
      </c>
      <c r="J9" s="135">
        <f>J10+J21+J24+J35+J43+J39</f>
        <v>26445.599999999999</v>
      </c>
      <c r="K9" s="136">
        <f t="shared" si="0"/>
        <v>27354.59</v>
      </c>
      <c r="L9" s="137">
        <f t="shared" si="0"/>
        <v>28859.092449999996</v>
      </c>
      <c r="M9" s="138">
        <f t="shared" si="0"/>
        <v>8499.1666666666661</v>
      </c>
      <c r="N9" s="138">
        <f t="shared" si="0"/>
        <v>8499.1666666666661</v>
      </c>
      <c r="O9" s="138">
        <f t="shared" si="0"/>
        <v>8499.1666666666661</v>
      </c>
      <c r="P9" s="138">
        <f t="shared" si="0"/>
        <v>133.5</v>
      </c>
      <c r="S9" s="285"/>
    </row>
    <row r="10" spans="1:19" s="4" customFormat="1" ht="16.5" thickBot="1">
      <c r="A10" s="139" t="s">
        <v>7</v>
      </c>
      <c r="B10" s="140" t="s">
        <v>148</v>
      </c>
      <c r="C10" s="141" t="s">
        <v>5</v>
      </c>
      <c r="D10" s="142">
        <f t="shared" ref="D10:P10" si="1">D11+D18</f>
        <v>9631.4</v>
      </c>
      <c r="E10" s="142">
        <f t="shared" si="1"/>
        <v>6727.71</v>
      </c>
      <c r="F10" s="142">
        <f t="shared" si="1"/>
        <v>10213.75</v>
      </c>
      <c r="G10" s="142">
        <f t="shared" si="1"/>
        <v>18820</v>
      </c>
      <c r="H10" s="142">
        <f t="shared" si="1"/>
        <v>10036.199999999999</v>
      </c>
      <c r="I10" s="142">
        <f t="shared" si="1"/>
        <v>17432.899999999998</v>
      </c>
      <c r="J10" s="143">
        <f>J11+J18+J20</f>
        <v>15644</v>
      </c>
      <c r="K10" s="144">
        <f t="shared" si="1"/>
        <v>16771.415999999997</v>
      </c>
      <c r="L10" s="145">
        <f t="shared" si="1"/>
        <v>17693.843879999997</v>
      </c>
      <c r="M10" s="146">
        <f t="shared" si="1"/>
        <v>5188.5</v>
      </c>
      <c r="N10" s="146">
        <f t="shared" si="1"/>
        <v>5188.5</v>
      </c>
      <c r="O10" s="146">
        <f t="shared" si="1"/>
        <v>5188.5</v>
      </c>
      <c r="P10" s="146">
        <f t="shared" si="1"/>
        <v>62.5</v>
      </c>
      <c r="S10" s="286"/>
    </row>
    <row r="11" spans="1:19" s="6" customFormat="1" ht="39.950000000000003" customHeight="1">
      <c r="A11" s="147" t="s">
        <v>62</v>
      </c>
      <c r="B11" s="148" t="s">
        <v>243</v>
      </c>
      <c r="C11" s="149" t="s">
        <v>142</v>
      </c>
      <c r="D11" s="150">
        <f>D12+D15+D13+D16</f>
        <v>9391.4</v>
      </c>
      <c r="E11" s="150">
        <f>E12+E15+E13+E16</f>
        <v>6546.21</v>
      </c>
      <c r="F11" s="150">
        <f>F12+F15+F13+F16</f>
        <v>9941.5</v>
      </c>
      <c r="G11" s="150">
        <f>G12+G15+G13+G16+G17</f>
        <v>18620</v>
      </c>
      <c r="H11" s="150">
        <f>H12+H15+H13+H16+H17</f>
        <v>9812.9999999999982</v>
      </c>
      <c r="I11" s="150">
        <f>I12+I15+I13+I16+I17+I18</f>
        <v>17098.099999999999</v>
      </c>
      <c r="J11" s="151">
        <f>J12+J15+J13+J16+J17</f>
        <v>15404</v>
      </c>
      <c r="K11" s="152">
        <f>K12+K15+K13+K16+K17+K18</f>
        <v>16534.423999999999</v>
      </c>
      <c r="L11" s="153">
        <f>L12+L15+L13+L16+L17+L18</f>
        <v>17443.817319999998</v>
      </c>
      <c r="M11" s="154">
        <f>M12+M15+M13+M16+M17</f>
        <v>5113.833333333333</v>
      </c>
      <c r="N11" s="154">
        <f>N12+N15+N13+N16+N17</f>
        <v>5113.833333333333</v>
      </c>
      <c r="O11" s="154">
        <f>O12+O15+O13+O16+O17</f>
        <v>5113.833333333333</v>
      </c>
      <c r="P11" s="154">
        <f>P12+P15+P13+P16+P17</f>
        <v>62.5</v>
      </c>
      <c r="S11" s="287"/>
    </row>
    <row r="12" spans="1:19" s="6" customFormat="1" ht="39.950000000000003" customHeight="1">
      <c r="A12" s="147" t="s">
        <v>45</v>
      </c>
      <c r="B12" s="148" t="s">
        <v>194</v>
      </c>
      <c r="C12" s="149" t="s">
        <v>143</v>
      </c>
      <c r="D12" s="150">
        <v>6131.4</v>
      </c>
      <c r="E12" s="150">
        <v>3667.3</v>
      </c>
      <c r="F12" s="150">
        <f>E12/8*12</f>
        <v>5500.9500000000007</v>
      </c>
      <c r="G12" s="150">
        <v>17300</v>
      </c>
      <c r="H12" s="150">
        <v>8970.7999999999993</v>
      </c>
      <c r="I12" s="150">
        <v>15500</v>
      </c>
      <c r="J12" s="151">
        <v>12426</v>
      </c>
      <c r="K12" s="155">
        <f>J12*1.058</f>
        <v>13146.708000000001</v>
      </c>
      <c r="L12" s="156">
        <f>K12*1.055</f>
        <v>13869.77694</v>
      </c>
      <c r="M12" s="154">
        <f>J12/3</f>
        <v>4142</v>
      </c>
      <c r="N12" s="154">
        <f>J12/3</f>
        <v>4142</v>
      </c>
      <c r="O12" s="154">
        <f>J12/3</f>
        <v>4142</v>
      </c>
      <c r="P12" s="154">
        <v>0</v>
      </c>
      <c r="S12" s="287"/>
    </row>
    <row r="13" spans="1:19" s="6" customFormat="1" ht="60.75" hidden="1" customHeight="1">
      <c r="A13" s="147" t="s">
        <v>44</v>
      </c>
      <c r="B13" s="148" t="s">
        <v>195</v>
      </c>
      <c r="C13" s="149" t="s">
        <v>196</v>
      </c>
      <c r="D13" s="150">
        <v>2450</v>
      </c>
      <c r="E13" s="150">
        <v>2220.5</v>
      </c>
      <c r="F13" s="150">
        <f>E13/8*12</f>
        <v>3330.75</v>
      </c>
      <c r="G13" s="150"/>
      <c r="H13" s="150"/>
      <c r="I13" s="150">
        <f>H13/8*12</f>
        <v>0</v>
      </c>
      <c r="J13" s="151">
        <f t="shared" ref="J13:K47" si="2">I13*1.058</f>
        <v>0</v>
      </c>
      <c r="K13" s="155">
        <f t="shared" si="2"/>
        <v>0</v>
      </c>
      <c r="L13" s="156">
        <f t="shared" ref="L13:L47" si="3">K13*1.055</f>
        <v>0</v>
      </c>
      <c r="M13" s="150">
        <v>0</v>
      </c>
      <c r="N13" s="150">
        <v>0</v>
      </c>
      <c r="O13" s="150">
        <v>0</v>
      </c>
      <c r="P13" s="150">
        <v>0</v>
      </c>
      <c r="S13" s="287"/>
    </row>
    <row r="14" spans="1:19" s="6" customFormat="1" ht="39.950000000000003" customHeight="1">
      <c r="A14" s="147" t="s">
        <v>63</v>
      </c>
      <c r="B14" s="148" t="s">
        <v>276</v>
      </c>
      <c r="C14" s="149" t="s">
        <v>144</v>
      </c>
      <c r="D14" s="150"/>
      <c r="E14" s="150"/>
      <c r="F14" s="150"/>
      <c r="G14" s="150">
        <f>G15</f>
        <v>760</v>
      </c>
      <c r="H14" s="150">
        <f>H15</f>
        <v>824.4</v>
      </c>
      <c r="I14" s="150">
        <f>I15</f>
        <v>1236.5999999999999</v>
      </c>
      <c r="J14" s="151">
        <f>J15</f>
        <v>2728</v>
      </c>
      <c r="K14" s="155">
        <f t="shared" si="2"/>
        <v>2886.2240000000002</v>
      </c>
      <c r="L14" s="156">
        <f t="shared" si="3"/>
        <v>3044.96632</v>
      </c>
      <c r="M14" s="154">
        <f>M15</f>
        <v>909.33333333333337</v>
      </c>
      <c r="N14" s="154">
        <f>N15</f>
        <v>909.33333333333337</v>
      </c>
      <c r="O14" s="154">
        <f>O15</f>
        <v>909.33333333333337</v>
      </c>
      <c r="P14" s="154">
        <f>P15</f>
        <v>0</v>
      </c>
      <c r="S14" s="287"/>
    </row>
    <row r="15" spans="1:19" s="6" customFormat="1" ht="39.950000000000003" customHeight="1">
      <c r="A15" s="147" t="s">
        <v>178</v>
      </c>
      <c r="B15" s="148" t="s">
        <v>197</v>
      </c>
      <c r="C15" s="149" t="s">
        <v>144</v>
      </c>
      <c r="D15" s="150">
        <v>800</v>
      </c>
      <c r="E15" s="150">
        <v>733.2</v>
      </c>
      <c r="F15" s="150">
        <f>E15/8*12</f>
        <v>1099.8000000000002</v>
      </c>
      <c r="G15" s="150">
        <v>760</v>
      </c>
      <c r="H15" s="150">
        <v>824.4</v>
      </c>
      <c r="I15" s="150">
        <f t="shared" ref="I15:I20" si="4">H15/8*12</f>
        <v>1236.5999999999999</v>
      </c>
      <c r="J15" s="151">
        <v>2728</v>
      </c>
      <c r="K15" s="155">
        <f t="shared" si="2"/>
        <v>2886.2240000000002</v>
      </c>
      <c r="L15" s="156">
        <f t="shared" si="3"/>
        <v>3044.96632</v>
      </c>
      <c r="M15" s="154">
        <f>J15/3</f>
        <v>909.33333333333337</v>
      </c>
      <c r="N15" s="154">
        <f>J15/3</f>
        <v>909.33333333333337</v>
      </c>
      <c r="O15" s="154">
        <f>J15/3</f>
        <v>909.33333333333337</v>
      </c>
      <c r="P15" s="154">
        <v>0</v>
      </c>
      <c r="S15" s="287"/>
    </row>
    <row r="16" spans="1:19" s="6" customFormat="1" ht="39.950000000000003" hidden="1" customHeight="1">
      <c r="A16" s="147" t="s">
        <v>178</v>
      </c>
      <c r="B16" s="148" t="s">
        <v>198</v>
      </c>
      <c r="C16" s="149" t="s">
        <v>199</v>
      </c>
      <c r="D16" s="150">
        <v>10</v>
      </c>
      <c r="E16" s="150">
        <v>-74.790000000000006</v>
      </c>
      <c r="F16" s="150">
        <v>10</v>
      </c>
      <c r="G16" s="157"/>
      <c r="H16" s="157"/>
      <c r="I16" s="150">
        <f t="shared" si="4"/>
        <v>0</v>
      </c>
      <c r="J16" s="151">
        <f t="shared" si="2"/>
        <v>0</v>
      </c>
      <c r="K16" s="155">
        <f t="shared" si="2"/>
        <v>0</v>
      </c>
      <c r="L16" s="156">
        <f t="shared" si="3"/>
        <v>0</v>
      </c>
      <c r="M16" s="150">
        <v>0</v>
      </c>
      <c r="N16" s="150">
        <v>0</v>
      </c>
      <c r="O16" s="150">
        <v>0</v>
      </c>
      <c r="P16" s="150">
        <v>0</v>
      </c>
      <c r="S16" s="287"/>
    </row>
    <row r="17" spans="1:19" s="6" customFormat="1" ht="39.950000000000003" customHeight="1">
      <c r="A17" s="147" t="s">
        <v>242</v>
      </c>
      <c r="B17" s="148" t="s">
        <v>240</v>
      </c>
      <c r="C17" s="149" t="s">
        <v>241</v>
      </c>
      <c r="D17" s="150"/>
      <c r="E17" s="150"/>
      <c r="F17" s="150"/>
      <c r="G17" s="150">
        <v>560</v>
      </c>
      <c r="H17" s="150">
        <v>17.8</v>
      </c>
      <c r="I17" s="150">
        <f t="shared" si="4"/>
        <v>26.700000000000003</v>
      </c>
      <c r="J17" s="151">
        <v>250</v>
      </c>
      <c r="K17" s="155">
        <f t="shared" si="2"/>
        <v>264.5</v>
      </c>
      <c r="L17" s="156">
        <f t="shared" si="3"/>
        <v>279.04749999999996</v>
      </c>
      <c r="M17" s="154">
        <f>J17/4</f>
        <v>62.5</v>
      </c>
      <c r="N17" s="154">
        <f>J17/4</f>
        <v>62.5</v>
      </c>
      <c r="O17" s="154">
        <f>J17/4</f>
        <v>62.5</v>
      </c>
      <c r="P17" s="154">
        <f>J17/4</f>
        <v>62.5</v>
      </c>
      <c r="S17" s="287"/>
    </row>
    <row r="18" spans="1:19" s="6" customFormat="1" ht="39.950000000000003" customHeight="1">
      <c r="A18" s="147" t="s">
        <v>161</v>
      </c>
      <c r="B18" s="148" t="s">
        <v>245</v>
      </c>
      <c r="C18" s="149" t="s">
        <v>304</v>
      </c>
      <c r="D18" s="150">
        <f>D19+D20</f>
        <v>240</v>
      </c>
      <c r="E18" s="150">
        <f>E19+E20</f>
        <v>181.5</v>
      </c>
      <c r="F18" s="150">
        <f>E18/8*12</f>
        <v>272.25</v>
      </c>
      <c r="G18" s="150">
        <f>G19+G20</f>
        <v>200</v>
      </c>
      <c r="H18" s="150">
        <f>H19+H20</f>
        <v>223.2</v>
      </c>
      <c r="I18" s="150">
        <f t="shared" si="4"/>
        <v>334.79999999999995</v>
      </c>
      <c r="J18" s="151">
        <f>J19</f>
        <v>224</v>
      </c>
      <c r="K18" s="155">
        <f t="shared" si="2"/>
        <v>236.99200000000002</v>
      </c>
      <c r="L18" s="156">
        <f t="shared" si="3"/>
        <v>250.02656000000002</v>
      </c>
      <c r="M18" s="154">
        <f>M19</f>
        <v>74.666666666666671</v>
      </c>
      <c r="N18" s="154">
        <f>N19</f>
        <v>74.666666666666671</v>
      </c>
      <c r="O18" s="154">
        <f>O19</f>
        <v>74.666666666666671</v>
      </c>
      <c r="P18" s="154">
        <f>P19</f>
        <v>0</v>
      </c>
      <c r="S18" s="287"/>
    </row>
    <row r="19" spans="1:19" s="6" customFormat="1" ht="39.950000000000003" customHeight="1">
      <c r="A19" s="147" t="s">
        <v>177</v>
      </c>
      <c r="B19" s="148" t="s">
        <v>200</v>
      </c>
      <c r="C19" s="149" t="s">
        <v>304</v>
      </c>
      <c r="D19" s="150">
        <v>120</v>
      </c>
      <c r="E19" s="150">
        <v>130.5</v>
      </c>
      <c r="F19" s="150">
        <f>E19/8*12</f>
        <v>195.75</v>
      </c>
      <c r="G19" s="150">
        <v>200</v>
      </c>
      <c r="H19" s="150">
        <v>223.2</v>
      </c>
      <c r="I19" s="150">
        <f t="shared" si="4"/>
        <v>334.79999999999995</v>
      </c>
      <c r="J19" s="151">
        <v>224</v>
      </c>
      <c r="K19" s="155">
        <f t="shared" si="2"/>
        <v>236.99200000000002</v>
      </c>
      <c r="L19" s="156">
        <f t="shared" si="3"/>
        <v>250.02656000000002</v>
      </c>
      <c r="M19" s="154">
        <f>J19/3</f>
        <v>74.666666666666671</v>
      </c>
      <c r="N19" s="154">
        <f>J19/3</f>
        <v>74.666666666666671</v>
      </c>
      <c r="O19" s="154">
        <f>J19/3</f>
        <v>74.666666666666671</v>
      </c>
      <c r="P19" s="154">
        <v>0</v>
      </c>
      <c r="S19" s="287"/>
    </row>
    <row r="20" spans="1:19" s="4" customFormat="1" ht="45" customHeight="1" thickBot="1">
      <c r="A20" s="147" t="s">
        <v>231</v>
      </c>
      <c r="B20" s="148" t="s">
        <v>387</v>
      </c>
      <c r="C20" s="149" t="s">
        <v>388</v>
      </c>
      <c r="D20" s="150">
        <v>120</v>
      </c>
      <c r="E20" s="150">
        <v>51</v>
      </c>
      <c r="F20" s="150">
        <f>E20/8*12</f>
        <v>76.5</v>
      </c>
      <c r="G20" s="157"/>
      <c r="H20" s="150"/>
      <c r="I20" s="150">
        <f t="shared" si="4"/>
        <v>0</v>
      </c>
      <c r="J20" s="151">
        <v>16</v>
      </c>
      <c r="K20" s="155">
        <f t="shared" si="2"/>
        <v>16.928000000000001</v>
      </c>
      <c r="L20" s="156">
        <f t="shared" si="3"/>
        <v>17.85904</v>
      </c>
      <c r="M20" s="158"/>
      <c r="N20" s="158"/>
      <c r="O20" s="158"/>
      <c r="P20" s="158"/>
      <c r="S20" s="286"/>
    </row>
    <row r="21" spans="1:19" s="6" customFormat="1" ht="16.5" thickBot="1">
      <c r="A21" s="139" t="s">
        <v>4</v>
      </c>
      <c r="B21" s="140" t="s">
        <v>149</v>
      </c>
      <c r="C21" s="141" t="s">
        <v>6</v>
      </c>
      <c r="D21" s="142">
        <f>D22</f>
        <v>300</v>
      </c>
      <c r="E21" s="142">
        <f t="shared" ref="E21:P22" si="5">E22</f>
        <v>175</v>
      </c>
      <c r="F21" s="142">
        <f t="shared" si="5"/>
        <v>262.5</v>
      </c>
      <c r="G21" s="142">
        <f t="shared" si="5"/>
        <v>1600</v>
      </c>
      <c r="H21" s="142">
        <f t="shared" si="5"/>
        <v>950.7</v>
      </c>
      <c r="I21" s="142">
        <f t="shared" si="5"/>
        <v>1600</v>
      </c>
      <c r="J21" s="143">
        <f t="shared" si="5"/>
        <v>2985</v>
      </c>
      <c r="K21" s="159">
        <f t="shared" si="5"/>
        <v>3158.13</v>
      </c>
      <c r="L21" s="160">
        <f t="shared" si="5"/>
        <v>3331.8271500000001</v>
      </c>
      <c r="M21" s="146">
        <f t="shared" si="5"/>
        <v>995</v>
      </c>
      <c r="N21" s="146">
        <f t="shared" si="5"/>
        <v>995</v>
      </c>
      <c r="O21" s="146">
        <f t="shared" si="5"/>
        <v>995</v>
      </c>
      <c r="P21" s="146">
        <f t="shared" si="5"/>
        <v>0</v>
      </c>
      <c r="S21" s="287"/>
    </row>
    <row r="22" spans="1:19" ht="39.950000000000003" customHeight="1">
      <c r="A22" s="147" t="s">
        <v>64</v>
      </c>
      <c r="B22" s="148" t="s">
        <v>244</v>
      </c>
      <c r="C22" s="161" t="s">
        <v>55</v>
      </c>
      <c r="D22" s="150">
        <f>D23</f>
        <v>300</v>
      </c>
      <c r="E22" s="150">
        <v>175</v>
      </c>
      <c r="F22" s="150">
        <f t="shared" si="5"/>
        <v>262.5</v>
      </c>
      <c r="G22" s="150">
        <f t="shared" si="5"/>
        <v>1600</v>
      </c>
      <c r="H22" s="150">
        <f t="shared" si="5"/>
        <v>950.7</v>
      </c>
      <c r="I22" s="150">
        <f>I23</f>
        <v>1600</v>
      </c>
      <c r="J22" s="151">
        <f>J23</f>
        <v>2985</v>
      </c>
      <c r="K22" s="155">
        <f t="shared" si="2"/>
        <v>3158.13</v>
      </c>
      <c r="L22" s="156">
        <f t="shared" si="3"/>
        <v>3331.8271500000001</v>
      </c>
      <c r="M22" s="154">
        <f t="shared" si="5"/>
        <v>995</v>
      </c>
      <c r="N22" s="154">
        <f t="shared" si="5"/>
        <v>995</v>
      </c>
      <c r="O22" s="154">
        <f t="shared" si="5"/>
        <v>995</v>
      </c>
      <c r="P22" s="154">
        <f t="shared" si="5"/>
        <v>0</v>
      </c>
    </row>
    <row r="23" spans="1:19" s="6" customFormat="1" ht="64.5" thickBot="1">
      <c r="A23" s="147" t="s">
        <v>65</v>
      </c>
      <c r="B23" s="148" t="s">
        <v>52</v>
      </c>
      <c r="C23" s="149" t="s">
        <v>56</v>
      </c>
      <c r="D23" s="150">
        <v>300</v>
      </c>
      <c r="E23" s="150">
        <v>175</v>
      </c>
      <c r="F23" s="150">
        <f>E23/8*12</f>
        <v>262.5</v>
      </c>
      <c r="G23" s="150">
        <v>1600</v>
      </c>
      <c r="H23" s="150">
        <v>950.7</v>
      </c>
      <c r="I23" s="150">
        <v>1600</v>
      </c>
      <c r="J23" s="151">
        <f>1985+1000</f>
        <v>2985</v>
      </c>
      <c r="K23" s="155">
        <f t="shared" si="2"/>
        <v>3158.13</v>
      </c>
      <c r="L23" s="156">
        <f t="shared" si="3"/>
        <v>3331.8271500000001</v>
      </c>
      <c r="M23" s="154">
        <f>J23/3</f>
        <v>995</v>
      </c>
      <c r="N23" s="154">
        <f>J23/3</f>
        <v>995</v>
      </c>
      <c r="O23" s="154">
        <f>J23/3</f>
        <v>995</v>
      </c>
      <c r="P23" s="154">
        <v>0</v>
      </c>
      <c r="S23" s="287"/>
    </row>
    <row r="24" spans="1:19" s="6" customFormat="1" ht="39" thickBot="1">
      <c r="A24" s="139">
        <v>3</v>
      </c>
      <c r="B24" s="140" t="s">
        <v>17</v>
      </c>
      <c r="C24" s="141" t="s">
        <v>145</v>
      </c>
      <c r="D24" s="142" t="e">
        <f>#REF!+#REF!+D25+#REF!+#REF!</f>
        <v>#REF!</v>
      </c>
      <c r="E24" s="142" t="e">
        <f>#REF!+#REF!+E25+#REF!+#REF!</f>
        <v>#REF!</v>
      </c>
      <c r="F24" s="142" t="e">
        <f>#REF!+#REF!+F25+#REF!+#REF!</f>
        <v>#REF!</v>
      </c>
      <c r="G24" s="142">
        <f t="shared" ref="G24:L24" si="6">G29+G33</f>
        <v>9275.4</v>
      </c>
      <c r="H24" s="142">
        <f t="shared" si="6"/>
        <v>6457.7</v>
      </c>
      <c r="I24" s="142">
        <f t="shared" si="6"/>
        <v>10024</v>
      </c>
      <c r="J24" s="143">
        <f t="shared" si="6"/>
        <v>6746</v>
      </c>
      <c r="K24" s="159">
        <f t="shared" si="6"/>
        <v>7137.268</v>
      </c>
      <c r="L24" s="160">
        <f t="shared" si="6"/>
        <v>7529.8177400000004</v>
      </c>
      <c r="M24" s="162">
        <f>M29+M33</f>
        <v>2247.6666666666665</v>
      </c>
      <c r="N24" s="162">
        <f>N29+N33</f>
        <v>2247.6666666666665</v>
      </c>
      <c r="O24" s="162">
        <f>O29+O33</f>
        <v>2247.6666666666665</v>
      </c>
      <c r="P24" s="162">
        <f>P29+P33</f>
        <v>3</v>
      </c>
      <c r="S24" s="287"/>
    </row>
    <row r="25" spans="1:19" s="6" customFormat="1" ht="30" hidden="1" customHeight="1">
      <c r="A25" s="163"/>
      <c r="B25" s="164" t="s">
        <v>291</v>
      </c>
      <c r="C25" s="165" t="s">
        <v>292</v>
      </c>
      <c r="D25" s="150">
        <f>D30</f>
        <v>5500</v>
      </c>
      <c r="E25" s="150">
        <f>E30</f>
        <v>3350.4</v>
      </c>
      <c r="F25" s="150">
        <f>F30</f>
        <v>5025.6000000000004</v>
      </c>
      <c r="G25" s="157"/>
      <c r="H25" s="150">
        <f>H26</f>
        <v>0</v>
      </c>
      <c r="I25" s="150">
        <f>H25/8*12</f>
        <v>0</v>
      </c>
      <c r="J25" s="151">
        <f t="shared" si="2"/>
        <v>0</v>
      </c>
      <c r="K25" s="155">
        <f t="shared" si="2"/>
        <v>0</v>
      </c>
      <c r="L25" s="156">
        <f t="shared" si="3"/>
        <v>0</v>
      </c>
      <c r="M25" s="154">
        <f t="shared" ref="M25:P28" si="7">L25*1.058</f>
        <v>0</v>
      </c>
      <c r="N25" s="154">
        <f t="shared" si="7"/>
        <v>0</v>
      </c>
      <c r="O25" s="154">
        <f t="shared" si="7"/>
        <v>0</v>
      </c>
      <c r="P25" s="154">
        <f t="shared" si="7"/>
        <v>0</v>
      </c>
      <c r="S25" s="287"/>
    </row>
    <row r="26" spans="1:19" s="6" customFormat="1" ht="57.75" hidden="1" customHeight="1">
      <c r="A26" s="163"/>
      <c r="B26" s="164" t="s">
        <v>293</v>
      </c>
      <c r="C26" s="165" t="s">
        <v>294</v>
      </c>
      <c r="D26" s="150">
        <f>D30</f>
        <v>5500</v>
      </c>
      <c r="E26" s="150">
        <f>E30</f>
        <v>3350.4</v>
      </c>
      <c r="F26" s="150">
        <f>F30</f>
        <v>5025.6000000000004</v>
      </c>
      <c r="G26" s="157"/>
      <c r="H26" s="150">
        <f>H27</f>
        <v>0</v>
      </c>
      <c r="I26" s="150">
        <f>H26/8*12</f>
        <v>0</v>
      </c>
      <c r="J26" s="151">
        <f t="shared" si="2"/>
        <v>0</v>
      </c>
      <c r="K26" s="155">
        <f t="shared" si="2"/>
        <v>0</v>
      </c>
      <c r="L26" s="156">
        <f t="shared" si="3"/>
        <v>0</v>
      </c>
      <c r="M26" s="154">
        <f t="shared" si="7"/>
        <v>0</v>
      </c>
      <c r="N26" s="154">
        <f t="shared" si="7"/>
        <v>0</v>
      </c>
      <c r="O26" s="154">
        <f t="shared" si="7"/>
        <v>0</v>
      </c>
      <c r="P26" s="154">
        <f t="shared" si="7"/>
        <v>0</v>
      </c>
      <c r="S26" s="287"/>
    </row>
    <row r="27" spans="1:19" s="6" customFormat="1" ht="36" hidden="1" customHeight="1">
      <c r="A27" s="163"/>
      <c r="B27" s="164" t="s">
        <v>295</v>
      </c>
      <c r="C27" s="165" t="s">
        <v>296</v>
      </c>
      <c r="D27" s="150">
        <f>D30</f>
        <v>5500</v>
      </c>
      <c r="E27" s="150">
        <v>3350.4</v>
      </c>
      <c r="F27" s="150">
        <f>F30</f>
        <v>5025.6000000000004</v>
      </c>
      <c r="G27" s="157"/>
      <c r="H27" s="150">
        <f>H28</f>
        <v>0</v>
      </c>
      <c r="I27" s="150">
        <f>H27/8*12</f>
        <v>0</v>
      </c>
      <c r="J27" s="151">
        <f t="shared" si="2"/>
        <v>0</v>
      </c>
      <c r="K27" s="155">
        <f t="shared" si="2"/>
        <v>0</v>
      </c>
      <c r="L27" s="156">
        <f t="shared" si="3"/>
        <v>0</v>
      </c>
      <c r="M27" s="154">
        <f t="shared" si="7"/>
        <v>0</v>
      </c>
      <c r="N27" s="154">
        <f t="shared" si="7"/>
        <v>0</v>
      </c>
      <c r="O27" s="154">
        <f t="shared" si="7"/>
        <v>0</v>
      </c>
      <c r="P27" s="154">
        <f t="shared" si="7"/>
        <v>0</v>
      </c>
      <c r="S27" s="287"/>
    </row>
    <row r="28" spans="1:19" s="6" customFormat="1" ht="51" hidden="1">
      <c r="A28" s="163"/>
      <c r="B28" s="164" t="s">
        <v>297</v>
      </c>
      <c r="C28" s="165" t="s">
        <v>298</v>
      </c>
      <c r="D28" s="150">
        <v>5500</v>
      </c>
      <c r="E28" s="150">
        <v>3350.4</v>
      </c>
      <c r="F28" s="150">
        <f>E28/8*12</f>
        <v>5025.6000000000004</v>
      </c>
      <c r="G28" s="157"/>
      <c r="H28" s="150">
        <f>G28*1.05</f>
        <v>0</v>
      </c>
      <c r="I28" s="150">
        <f>H28/8*12</f>
        <v>0</v>
      </c>
      <c r="J28" s="151">
        <f t="shared" si="2"/>
        <v>0</v>
      </c>
      <c r="K28" s="155">
        <f t="shared" si="2"/>
        <v>0</v>
      </c>
      <c r="L28" s="156">
        <f t="shared" si="3"/>
        <v>0</v>
      </c>
      <c r="M28" s="154">
        <f t="shared" si="7"/>
        <v>0</v>
      </c>
      <c r="N28" s="154">
        <f t="shared" si="7"/>
        <v>0</v>
      </c>
      <c r="O28" s="154">
        <f t="shared" si="7"/>
        <v>0</v>
      </c>
      <c r="P28" s="154">
        <f t="shared" si="7"/>
        <v>0</v>
      </c>
      <c r="S28" s="287"/>
    </row>
    <row r="29" spans="1:19" s="6" customFormat="1" ht="65.099999999999994" customHeight="1">
      <c r="A29" s="147" t="s">
        <v>66</v>
      </c>
      <c r="B29" s="166" t="s">
        <v>159</v>
      </c>
      <c r="C29" s="149" t="s">
        <v>201</v>
      </c>
      <c r="D29" s="142"/>
      <c r="E29" s="142"/>
      <c r="F29" s="142"/>
      <c r="G29" s="150">
        <f t="shared" ref="G29:I31" si="8">G30</f>
        <v>9251.4</v>
      </c>
      <c r="H29" s="150">
        <f t="shared" si="8"/>
        <v>6445.7</v>
      </c>
      <c r="I29" s="150">
        <f t="shared" si="8"/>
        <v>10000</v>
      </c>
      <c r="J29" s="151">
        <f>J30</f>
        <v>6734</v>
      </c>
      <c r="K29" s="155">
        <f t="shared" si="2"/>
        <v>7124.5720000000001</v>
      </c>
      <c r="L29" s="156">
        <f t="shared" si="3"/>
        <v>7516.42346</v>
      </c>
      <c r="M29" s="154">
        <f t="shared" ref="M29:P31" si="9">M30</f>
        <v>2244.6666666666665</v>
      </c>
      <c r="N29" s="154">
        <f t="shared" si="9"/>
        <v>2244.6666666666665</v>
      </c>
      <c r="O29" s="154">
        <f t="shared" si="9"/>
        <v>2244.6666666666665</v>
      </c>
      <c r="P29" s="154">
        <f t="shared" si="9"/>
        <v>0</v>
      </c>
      <c r="S29" s="287"/>
    </row>
    <row r="30" spans="1:19" s="6" customFormat="1" ht="65.099999999999994" customHeight="1">
      <c r="A30" s="147" t="s">
        <v>67</v>
      </c>
      <c r="B30" s="166" t="s">
        <v>160</v>
      </c>
      <c r="C30" s="149" t="s">
        <v>146</v>
      </c>
      <c r="D30" s="150">
        <v>5500</v>
      </c>
      <c r="E30" s="150">
        <v>3350.4</v>
      </c>
      <c r="F30" s="150">
        <f>E30/8*12</f>
        <v>5025.6000000000004</v>
      </c>
      <c r="G30" s="150">
        <f t="shared" si="8"/>
        <v>9251.4</v>
      </c>
      <c r="H30" s="150">
        <f t="shared" si="8"/>
        <v>6445.7</v>
      </c>
      <c r="I30" s="150">
        <f>I31</f>
        <v>10000</v>
      </c>
      <c r="J30" s="151">
        <f>J31</f>
        <v>6734</v>
      </c>
      <c r="K30" s="155">
        <f t="shared" si="2"/>
        <v>7124.5720000000001</v>
      </c>
      <c r="L30" s="156">
        <f t="shared" si="3"/>
        <v>7516.42346</v>
      </c>
      <c r="M30" s="154">
        <f t="shared" si="9"/>
        <v>2244.6666666666665</v>
      </c>
      <c r="N30" s="154">
        <f t="shared" si="9"/>
        <v>2244.6666666666665</v>
      </c>
      <c r="O30" s="154">
        <f t="shared" si="9"/>
        <v>2244.6666666666665</v>
      </c>
      <c r="P30" s="154">
        <f t="shared" si="9"/>
        <v>0</v>
      </c>
      <c r="S30" s="287"/>
    </row>
    <row r="31" spans="1:19" s="6" customFormat="1" ht="84" customHeight="1">
      <c r="A31" s="147" t="s">
        <v>140</v>
      </c>
      <c r="B31" s="166" t="s">
        <v>277</v>
      </c>
      <c r="C31" s="149" t="s">
        <v>147</v>
      </c>
      <c r="D31" s="167">
        <f>D32</f>
        <v>3450</v>
      </c>
      <c r="E31" s="167">
        <f>E32</f>
        <v>1791.7</v>
      </c>
      <c r="F31" s="167">
        <f>F32</f>
        <v>2090</v>
      </c>
      <c r="G31" s="150">
        <f>G32</f>
        <v>9251.4</v>
      </c>
      <c r="H31" s="150">
        <f t="shared" si="8"/>
        <v>6445.7</v>
      </c>
      <c r="I31" s="150">
        <f>I32</f>
        <v>10000</v>
      </c>
      <c r="J31" s="151">
        <f>J32</f>
        <v>6734</v>
      </c>
      <c r="K31" s="155">
        <f t="shared" si="2"/>
        <v>7124.5720000000001</v>
      </c>
      <c r="L31" s="156">
        <f t="shared" si="3"/>
        <v>7516.42346</v>
      </c>
      <c r="M31" s="154">
        <f t="shared" si="9"/>
        <v>2244.6666666666665</v>
      </c>
      <c r="N31" s="154">
        <f t="shared" si="9"/>
        <v>2244.6666666666665</v>
      </c>
      <c r="O31" s="154">
        <f t="shared" si="9"/>
        <v>2244.6666666666665</v>
      </c>
      <c r="P31" s="154">
        <f t="shared" si="9"/>
        <v>0</v>
      </c>
      <c r="S31" s="287"/>
    </row>
    <row r="32" spans="1:19" s="6" customFormat="1" ht="65.099999999999994" customHeight="1">
      <c r="A32" s="147" t="s">
        <v>278</v>
      </c>
      <c r="B32" s="166" t="s">
        <v>233</v>
      </c>
      <c r="C32" s="149" t="s">
        <v>59</v>
      </c>
      <c r="D32" s="168">
        <f>D33</f>
        <v>3450</v>
      </c>
      <c r="E32" s="168">
        <f>E33</f>
        <v>1791.7</v>
      </c>
      <c r="F32" s="168">
        <f>F33</f>
        <v>2090</v>
      </c>
      <c r="G32" s="150">
        <f>9214.3+37.1</f>
        <v>9251.4</v>
      </c>
      <c r="H32" s="168">
        <v>6445.7</v>
      </c>
      <c r="I32" s="150">
        <v>10000</v>
      </c>
      <c r="J32" s="151">
        <v>6734</v>
      </c>
      <c r="K32" s="155">
        <f t="shared" si="2"/>
        <v>7124.5720000000001</v>
      </c>
      <c r="L32" s="156">
        <f t="shared" si="3"/>
        <v>7516.42346</v>
      </c>
      <c r="M32" s="154">
        <f>J32/3</f>
        <v>2244.6666666666665</v>
      </c>
      <c r="N32" s="154">
        <f>J32/3</f>
        <v>2244.6666666666665</v>
      </c>
      <c r="O32" s="154">
        <f>J32/3</f>
        <v>2244.6666666666665</v>
      </c>
      <c r="P32" s="154">
        <v>0</v>
      </c>
      <c r="S32" s="287"/>
    </row>
    <row r="33" spans="1:19" s="6" customFormat="1" ht="31.5" customHeight="1">
      <c r="A33" s="147" t="s">
        <v>279</v>
      </c>
      <c r="B33" s="166" t="s">
        <v>280</v>
      </c>
      <c r="C33" s="149" t="s">
        <v>316</v>
      </c>
      <c r="D33" s="150">
        <f>D34</f>
        <v>3450</v>
      </c>
      <c r="E33" s="150">
        <f>E34</f>
        <v>1791.7</v>
      </c>
      <c r="F33" s="150">
        <v>2090</v>
      </c>
      <c r="G33" s="150">
        <f t="shared" ref="G33:P33" si="10">G34</f>
        <v>24</v>
      </c>
      <c r="H33" s="150">
        <f t="shared" si="10"/>
        <v>12</v>
      </c>
      <c r="I33" s="150">
        <f t="shared" si="10"/>
        <v>24</v>
      </c>
      <c r="J33" s="151">
        <f t="shared" si="10"/>
        <v>12</v>
      </c>
      <c r="K33" s="169">
        <f t="shared" si="10"/>
        <v>12.696000000000002</v>
      </c>
      <c r="L33" s="170">
        <f t="shared" si="10"/>
        <v>13.39428</v>
      </c>
      <c r="M33" s="154">
        <f t="shared" si="10"/>
        <v>3</v>
      </c>
      <c r="N33" s="154">
        <f t="shared" si="10"/>
        <v>3</v>
      </c>
      <c r="O33" s="154">
        <f t="shared" si="10"/>
        <v>3</v>
      </c>
      <c r="P33" s="154">
        <f t="shared" si="10"/>
        <v>3</v>
      </c>
      <c r="S33" s="287"/>
    </row>
    <row r="34" spans="1:19" s="6" customFormat="1" ht="77.25" customHeight="1">
      <c r="A34" s="147" t="s">
        <v>281</v>
      </c>
      <c r="B34" s="166" t="s">
        <v>282</v>
      </c>
      <c r="C34" s="149" t="s">
        <v>394</v>
      </c>
      <c r="D34" s="168">
        <v>3450</v>
      </c>
      <c r="E34" s="168">
        <v>1791.7</v>
      </c>
      <c r="F34" s="168">
        <v>2090</v>
      </c>
      <c r="G34" s="150">
        <v>24</v>
      </c>
      <c r="H34" s="168">
        <v>12</v>
      </c>
      <c r="I34" s="150">
        <v>24</v>
      </c>
      <c r="J34" s="151">
        <v>12</v>
      </c>
      <c r="K34" s="155">
        <f t="shared" si="2"/>
        <v>12.696000000000002</v>
      </c>
      <c r="L34" s="156">
        <f t="shared" si="3"/>
        <v>13.39428</v>
      </c>
      <c r="M34" s="154">
        <f>J34/4</f>
        <v>3</v>
      </c>
      <c r="N34" s="154">
        <f>J34/4</f>
        <v>3</v>
      </c>
      <c r="O34" s="154">
        <f>J34/4</f>
        <v>3</v>
      </c>
      <c r="P34" s="154">
        <f>J34/4</f>
        <v>3</v>
      </c>
      <c r="S34" s="287"/>
    </row>
    <row r="35" spans="1:19" s="6" customFormat="1" ht="26.25" hidden="1" thickBot="1">
      <c r="A35" s="171">
        <v>4</v>
      </c>
      <c r="B35" s="172" t="s">
        <v>57</v>
      </c>
      <c r="C35" s="173" t="s">
        <v>234</v>
      </c>
      <c r="D35" s="167">
        <f>D36</f>
        <v>140</v>
      </c>
      <c r="E35" s="167">
        <f t="shared" ref="E35:H37" si="11">E36</f>
        <v>88</v>
      </c>
      <c r="F35" s="167">
        <f t="shared" si="11"/>
        <v>132</v>
      </c>
      <c r="G35" s="167">
        <f t="shared" si="11"/>
        <v>0</v>
      </c>
      <c r="H35" s="167">
        <f t="shared" si="11"/>
        <v>0</v>
      </c>
      <c r="I35" s="150">
        <f>H35/8*12</f>
        <v>0</v>
      </c>
      <c r="J35" s="151">
        <f t="shared" si="2"/>
        <v>0</v>
      </c>
      <c r="K35" s="155">
        <f t="shared" si="2"/>
        <v>0</v>
      </c>
      <c r="L35" s="156">
        <f t="shared" si="3"/>
        <v>0</v>
      </c>
      <c r="M35" s="154"/>
      <c r="N35" s="154"/>
      <c r="O35" s="154"/>
      <c r="P35" s="154"/>
      <c r="S35" s="287"/>
    </row>
    <row r="36" spans="1:19" s="6" customFormat="1" ht="31.5" hidden="1" customHeight="1">
      <c r="A36" s="174" t="s">
        <v>68</v>
      </c>
      <c r="B36" s="175" t="s">
        <v>235</v>
      </c>
      <c r="C36" s="176" t="s">
        <v>236</v>
      </c>
      <c r="D36" s="150">
        <f>D37</f>
        <v>140</v>
      </c>
      <c r="E36" s="150">
        <f t="shared" si="11"/>
        <v>88</v>
      </c>
      <c r="F36" s="150">
        <f t="shared" si="11"/>
        <v>132</v>
      </c>
      <c r="G36" s="168">
        <f t="shared" si="11"/>
        <v>0</v>
      </c>
      <c r="H36" s="150"/>
      <c r="I36" s="150">
        <f>H36/8*12</f>
        <v>0</v>
      </c>
      <c r="J36" s="151">
        <f t="shared" si="2"/>
        <v>0</v>
      </c>
      <c r="K36" s="155">
        <f t="shared" si="2"/>
        <v>0</v>
      </c>
      <c r="L36" s="156">
        <f t="shared" si="3"/>
        <v>0</v>
      </c>
      <c r="M36" s="154"/>
      <c r="N36" s="154"/>
      <c r="O36" s="154"/>
      <c r="P36" s="154"/>
      <c r="S36" s="287"/>
    </row>
    <row r="37" spans="1:19" s="5" customFormat="1" ht="44.25" hidden="1" customHeight="1">
      <c r="A37" s="174" t="s">
        <v>69</v>
      </c>
      <c r="B37" s="175" t="s">
        <v>237</v>
      </c>
      <c r="C37" s="176" t="s">
        <v>238</v>
      </c>
      <c r="D37" s="150">
        <f>D38+D43</f>
        <v>140</v>
      </c>
      <c r="E37" s="150">
        <v>88</v>
      </c>
      <c r="F37" s="150">
        <f>E37/8*12</f>
        <v>132</v>
      </c>
      <c r="G37" s="168">
        <f t="shared" si="11"/>
        <v>0</v>
      </c>
      <c r="H37" s="150"/>
      <c r="I37" s="150">
        <f>H37/8*12</f>
        <v>0</v>
      </c>
      <c r="J37" s="151">
        <f t="shared" si="2"/>
        <v>0</v>
      </c>
      <c r="K37" s="155">
        <f t="shared" si="2"/>
        <v>0</v>
      </c>
      <c r="L37" s="156">
        <f t="shared" si="3"/>
        <v>0</v>
      </c>
      <c r="M37" s="154"/>
      <c r="N37" s="154"/>
      <c r="O37" s="154"/>
      <c r="P37" s="154"/>
      <c r="S37" s="288"/>
    </row>
    <row r="38" spans="1:19" s="5" customFormat="1" ht="76.5" hidden="1" customHeight="1" thickBot="1">
      <c r="A38" s="174" t="s">
        <v>70</v>
      </c>
      <c r="B38" s="175" t="s">
        <v>239</v>
      </c>
      <c r="C38" s="176" t="s">
        <v>150</v>
      </c>
      <c r="D38" s="150">
        <v>125</v>
      </c>
      <c r="E38" s="150">
        <v>88</v>
      </c>
      <c r="F38" s="150">
        <f>E38/8*12</f>
        <v>132</v>
      </c>
      <c r="G38" s="168">
        <v>0</v>
      </c>
      <c r="H38" s="150"/>
      <c r="I38" s="150">
        <f>H38/8*12</f>
        <v>0</v>
      </c>
      <c r="J38" s="151">
        <f t="shared" si="2"/>
        <v>0</v>
      </c>
      <c r="K38" s="155">
        <f t="shared" si="2"/>
        <v>0</v>
      </c>
      <c r="L38" s="156">
        <f t="shared" si="3"/>
        <v>0</v>
      </c>
      <c r="M38" s="154"/>
      <c r="N38" s="154"/>
      <c r="O38" s="154"/>
      <c r="P38" s="154"/>
      <c r="S38" s="288"/>
    </row>
    <row r="39" spans="1:19" s="5" customFormat="1" ht="43.5" customHeight="1">
      <c r="A39" s="177" t="s">
        <v>283</v>
      </c>
      <c r="B39" s="172" t="s">
        <v>57</v>
      </c>
      <c r="C39" s="178" t="s">
        <v>378</v>
      </c>
      <c r="D39" s="150">
        <v>15</v>
      </c>
      <c r="E39" s="150">
        <v>0</v>
      </c>
      <c r="F39" s="150">
        <v>15</v>
      </c>
      <c r="G39" s="179">
        <f t="shared" ref="G39:L41" si="12">G40</f>
        <v>0</v>
      </c>
      <c r="H39" s="179">
        <f t="shared" si="12"/>
        <v>0</v>
      </c>
      <c r="I39" s="179">
        <f t="shared" si="12"/>
        <v>1402.9</v>
      </c>
      <c r="J39" s="179">
        <f>J40+J44</f>
        <v>798.6</v>
      </c>
      <c r="K39" s="179">
        <f t="shared" si="12"/>
        <v>557.14280000000008</v>
      </c>
      <c r="L39" s="179">
        <f t="shared" si="12"/>
        <v>587.78565400000002</v>
      </c>
      <c r="M39" s="180"/>
      <c r="N39" s="180"/>
      <c r="O39" s="180"/>
      <c r="P39" s="180"/>
      <c r="S39" s="288"/>
    </row>
    <row r="40" spans="1:19" s="5" customFormat="1" ht="31.5" customHeight="1">
      <c r="A40" s="181" t="s">
        <v>68</v>
      </c>
      <c r="B40" s="166" t="s">
        <v>379</v>
      </c>
      <c r="C40" s="182" t="s">
        <v>380</v>
      </c>
      <c r="D40" s="150" t="e">
        <f>D41+#REF!</f>
        <v>#REF!</v>
      </c>
      <c r="E40" s="150" t="e">
        <f>E41+#REF!</f>
        <v>#REF!</v>
      </c>
      <c r="F40" s="150" t="e">
        <f>F41+#REF!</f>
        <v>#REF!</v>
      </c>
      <c r="G40" s="151">
        <f t="shared" si="12"/>
        <v>0</v>
      </c>
      <c r="H40" s="151">
        <f t="shared" si="12"/>
        <v>0</v>
      </c>
      <c r="I40" s="151">
        <f t="shared" si="12"/>
        <v>1402.9</v>
      </c>
      <c r="J40" s="151">
        <f t="shared" si="12"/>
        <v>526.6</v>
      </c>
      <c r="K40" s="143">
        <f t="shared" si="12"/>
        <v>557.14280000000008</v>
      </c>
      <c r="L40" s="143">
        <f t="shared" si="12"/>
        <v>587.78565400000002</v>
      </c>
      <c r="M40" s="180"/>
      <c r="N40" s="180"/>
      <c r="O40" s="180"/>
      <c r="P40" s="180"/>
      <c r="R40" s="281">
        <f>(J9+J50)*0.233</f>
        <v>21211.807399999998</v>
      </c>
      <c r="S40" s="288"/>
    </row>
    <row r="41" spans="1:19" s="5" customFormat="1" ht="45" customHeight="1">
      <c r="A41" s="181" t="s">
        <v>69</v>
      </c>
      <c r="B41" s="166" t="s">
        <v>381</v>
      </c>
      <c r="C41" s="183" t="s">
        <v>382</v>
      </c>
      <c r="D41" s="167">
        <f>D42+D51+D48</f>
        <v>11683.4</v>
      </c>
      <c r="E41" s="167">
        <f>E42+E51+E48</f>
        <v>8755.2000000000007</v>
      </c>
      <c r="F41" s="167">
        <f>F42+F51+F48</f>
        <v>11683.4</v>
      </c>
      <c r="G41" s="151">
        <f>G42</f>
        <v>0</v>
      </c>
      <c r="H41" s="151">
        <f>H42</f>
        <v>0</v>
      </c>
      <c r="I41" s="151">
        <f t="shared" si="12"/>
        <v>1402.9</v>
      </c>
      <c r="J41" s="151">
        <f t="shared" si="12"/>
        <v>526.6</v>
      </c>
      <c r="K41" s="151">
        <f t="shared" si="12"/>
        <v>557.14280000000008</v>
      </c>
      <c r="L41" s="151">
        <f t="shared" si="12"/>
        <v>587.78565400000002</v>
      </c>
      <c r="M41" s="180"/>
      <c r="N41" s="180"/>
      <c r="O41" s="180"/>
      <c r="P41" s="180"/>
      <c r="S41" s="288"/>
    </row>
    <row r="42" spans="1:19" s="4" customFormat="1" ht="73.5" customHeight="1">
      <c r="A42" s="181" t="s">
        <v>70</v>
      </c>
      <c r="B42" s="166" t="s">
        <v>383</v>
      </c>
      <c r="C42" s="183" t="s">
        <v>150</v>
      </c>
      <c r="D42" s="184">
        <f>D47</f>
        <v>5841.7</v>
      </c>
      <c r="E42" s="184">
        <f>E47</f>
        <v>4377.6000000000004</v>
      </c>
      <c r="F42" s="184">
        <f>F47</f>
        <v>5841.7</v>
      </c>
      <c r="G42" s="151">
        <v>0</v>
      </c>
      <c r="H42" s="151">
        <v>0</v>
      </c>
      <c r="I42" s="151">
        <v>1402.9</v>
      </c>
      <c r="J42" s="151">
        <v>526.6</v>
      </c>
      <c r="K42" s="151">
        <f>J42*1.058</f>
        <v>557.14280000000008</v>
      </c>
      <c r="L42" s="151">
        <f>K42*1.055</f>
        <v>587.78565400000002</v>
      </c>
      <c r="M42" s="185"/>
      <c r="N42" s="185"/>
      <c r="O42" s="185"/>
      <c r="P42" s="185"/>
      <c r="S42" s="286"/>
    </row>
    <row r="43" spans="1:19" s="5" customFormat="1" ht="24.75" hidden="1" customHeight="1" thickBot="1">
      <c r="A43" s="139" t="s">
        <v>283</v>
      </c>
      <c r="B43" s="140" t="s">
        <v>19</v>
      </c>
      <c r="C43" s="141" t="s">
        <v>18</v>
      </c>
      <c r="D43" s="186">
        <v>15</v>
      </c>
      <c r="E43" s="186">
        <v>0</v>
      </c>
      <c r="F43" s="186">
        <v>15</v>
      </c>
      <c r="G43" s="142">
        <f t="shared" ref="G43:P44" si="13">G44</f>
        <v>30</v>
      </c>
      <c r="H43" s="142">
        <f t="shared" si="13"/>
        <v>19.8</v>
      </c>
      <c r="I43" s="142">
        <f t="shared" si="13"/>
        <v>35</v>
      </c>
      <c r="J43" s="143">
        <f t="shared" si="13"/>
        <v>272</v>
      </c>
      <c r="K43" s="187">
        <f t="shared" si="13"/>
        <v>287.77600000000001</v>
      </c>
      <c r="L43" s="188">
        <f t="shared" si="13"/>
        <v>303.60368</v>
      </c>
      <c r="M43" s="146">
        <f t="shared" si="13"/>
        <v>68</v>
      </c>
      <c r="N43" s="146">
        <f t="shared" si="13"/>
        <v>68</v>
      </c>
      <c r="O43" s="146">
        <f t="shared" si="13"/>
        <v>68</v>
      </c>
      <c r="P43" s="146">
        <f t="shared" si="13"/>
        <v>68</v>
      </c>
      <c r="S43" s="288"/>
    </row>
    <row r="44" spans="1:19" s="5" customFormat="1" ht="30" customHeight="1">
      <c r="A44" s="147" t="s">
        <v>390</v>
      </c>
      <c r="B44" s="166" t="s">
        <v>49</v>
      </c>
      <c r="C44" s="189" t="s">
        <v>54</v>
      </c>
      <c r="D44" s="190" t="e">
        <f>D45+#REF!</f>
        <v>#REF!</v>
      </c>
      <c r="E44" s="190" t="e">
        <f>E45+#REF!</f>
        <v>#REF!</v>
      </c>
      <c r="F44" s="190" t="e">
        <f>F45+#REF!</f>
        <v>#REF!</v>
      </c>
      <c r="G44" s="150">
        <f t="shared" si="13"/>
        <v>30</v>
      </c>
      <c r="H44" s="150">
        <f t="shared" si="13"/>
        <v>19.8</v>
      </c>
      <c r="I44" s="150">
        <f t="shared" si="13"/>
        <v>35</v>
      </c>
      <c r="J44" s="151">
        <f t="shared" si="13"/>
        <v>272</v>
      </c>
      <c r="K44" s="191">
        <f t="shared" si="13"/>
        <v>287.77600000000001</v>
      </c>
      <c r="L44" s="153">
        <f t="shared" si="13"/>
        <v>303.60368</v>
      </c>
      <c r="M44" s="154">
        <f t="shared" si="13"/>
        <v>68</v>
      </c>
      <c r="N44" s="154">
        <f t="shared" si="13"/>
        <v>68</v>
      </c>
      <c r="O44" s="154">
        <f t="shared" si="13"/>
        <v>68</v>
      </c>
      <c r="P44" s="154">
        <f t="shared" si="13"/>
        <v>68</v>
      </c>
      <c r="S44" s="288"/>
    </row>
    <row r="45" spans="1:19" s="5" customFormat="1" ht="57" customHeight="1">
      <c r="A45" s="147" t="s">
        <v>391</v>
      </c>
      <c r="B45" s="166" t="s">
        <v>53</v>
      </c>
      <c r="C45" s="189" t="s">
        <v>389</v>
      </c>
      <c r="D45" s="167">
        <f>D46+D52+D49</f>
        <v>6635.2</v>
      </c>
      <c r="E45" s="167">
        <f>E46+E52+E49</f>
        <v>4901.8</v>
      </c>
      <c r="F45" s="167">
        <f>F46+F52+F49</f>
        <v>6635.2</v>
      </c>
      <c r="G45" s="150">
        <f t="shared" ref="G45:L45" si="14">G46+G47</f>
        <v>30</v>
      </c>
      <c r="H45" s="150">
        <f t="shared" si="14"/>
        <v>19.8</v>
      </c>
      <c r="I45" s="150">
        <f t="shared" si="14"/>
        <v>35</v>
      </c>
      <c r="J45" s="151">
        <f t="shared" si="14"/>
        <v>272</v>
      </c>
      <c r="K45" s="192">
        <f t="shared" si="14"/>
        <v>287.77600000000001</v>
      </c>
      <c r="L45" s="193">
        <f t="shared" si="14"/>
        <v>303.60368</v>
      </c>
      <c r="M45" s="154">
        <f>M46+M47</f>
        <v>68</v>
      </c>
      <c r="N45" s="154">
        <f>N46+N47</f>
        <v>68</v>
      </c>
      <c r="O45" s="154">
        <f>O46+O47</f>
        <v>68</v>
      </c>
      <c r="P45" s="154">
        <f>P46+P47</f>
        <v>68</v>
      </c>
      <c r="Q45" s="118"/>
      <c r="S45" s="288"/>
    </row>
    <row r="46" spans="1:19" s="4" customFormat="1" ht="53.25" customHeight="1" thickBot="1">
      <c r="A46" s="147" t="s">
        <v>392</v>
      </c>
      <c r="B46" s="148" t="s">
        <v>162</v>
      </c>
      <c r="C46" s="189" t="s">
        <v>202</v>
      </c>
      <c r="D46" s="184">
        <f>D48</f>
        <v>5841.7</v>
      </c>
      <c r="E46" s="184">
        <f>E48</f>
        <v>4377.6000000000004</v>
      </c>
      <c r="F46" s="184">
        <f>F48</f>
        <v>5841.7</v>
      </c>
      <c r="G46" s="150">
        <v>20</v>
      </c>
      <c r="H46" s="150">
        <v>19.8</v>
      </c>
      <c r="I46" s="150">
        <v>30</v>
      </c>
      <c r="J46" s="151">
        <f>10+262</f>
        <v>272</v>
      </c>
      <c r="K46" s="155">
        <f t="shared" si="2"/>
        <v>287.77600000000001</v>
      </c>
      <c r="L46" s="156">
        <f t="shared" si="3"/>
        <v>303.60368</v>
      </c>
      <c r="M46" s="154">
        <f>J46/4</f>
        <v>68</v>
      </c>
      <c r="N46" s="154">
        <f>J46/4</f>
        <v>68</v>
      </c>
      <c r="O46" s="154">
        <f>J46/4</f>
        <v>68</v>
      </c>
      <c r="P46" s="154">
        <f>J46/4</f>
        <v>68</v>
      </c>
      <c r="S46" s="286"/>
    </row>
    <row r="47" spans="1:19" s="6" customFormat="1" ht="61.5" hidden="1" customHeight="1" thickBot="1">
      <c r="A47" s="147" t="s">
        <v>393</v>
      </c>
      <c r="B47" s="148" t="s">
        <v>172</v>
      </c>
      <c r="C47" s="149" t="s">
        <v>203</v>
      </c>
      <c r="D47" s="184">
        <f>D48</f>
        <v>5841.7</v>
      </c>
      <c r="E47" s="184">
        <f>E48</f>
        <v>4377.6000000000004</v>
      </c>
      <c r="F47" s="184">
        <f>F48</f>
        <v>5841.7</v>
      </c>
      <c r="G47" s="150">
        <v>10</v>
      </c>
      <c r="H47" s="150">
        <v>0</v>
      </c>
      <c r="I47" s="150">
        <v>5</v>
      </c>
      <c r="J47" s="151">
        <v>0</v>
      </c>
      <c r="K47" s="155">
        <f t="shared" si="2"/>
        <v>0</v>
      </c>
      <c r="L47" s="156">
        <f t="shared" si="3"/>
        <v>0</v>
      </c>
      <c r="M47" s="150">
        <v>0</v>
      </c>
      <c r="N47" s="150">
        <v>0</v>
      </c>
      <c r="O47" s="150">
        <v>0</v>
      </c>
      <c r="P47" s="150">
        <v>0</v>
      </c>
      <c r="S47" s="287"/>
    </row>
    <row r="48" spans="1:19" s="6" customFormat="1" ht="50.25" customHeight="1" thickBot="1">
      <c r="A48" s="131" t="s">
        <v>47</v>
      </c>
      <c r="B48" s="132" t="s">
        <v>20</v>
      </c>
      <c r="C48" s="133" t="s">
        <v>163</v>
      </c>
      <c r="D48" s="194">
        <v>5841.7</v>
      </c>
      <c r="E48" s="194">
        <v>4377.6000000000004</v>
      </c>
      <c r="F48" s="194">
        <v>5841.7</v>
      </c>
      <c r="G48" s="134">
        <f t="shared" ref="G48:P48" si="15">G49</f>
        <v>22002.800000000003</v>
      </c>
      <c r="H48" s="134">
        <f t="shared" si="15"/>
        <v>6463.3</v>
      </c>
      <c r="I48" s="134">
        <f t="shared" si="15"/>
        <v>19569.800000000003</v>
      </c>
      <c r="J48" s="135">
        <f t="shared" si="15"/>
        <v>66122.899999999994</v>
      </c>
      <c r="K48" s="195">
        <f t="shared" si="15"/>
        <v>60474.2</v>
      </c>
      <c r="L48" s="196">
        <f t="shared" si="15"/>
        <v>60616</v>
      </c>
      <c r="M48" s="138">
        <f t="shared" si="15"/>
        <v>16530.724999999999</v>
      </c>
      <c r="N48" s="138">
        <f t="shared" si="15"/>
        <v>16530.724999999999</v>
      </c>
      <c r="O48" s="138">
        <f t="shared" si="15"/>
        <v>16530.724999999999</v>
      </c>
      <c r="P48" s="138">
        <f t="shared" si="15"/>
        <v>16530.724999999999</v>
      </c>
      <c r="S48" s="287"/>
    </row>
    <row r="49" spans="1:19" s="6" customFormat="1" ht="42.75" customHeight="1" thickBot="1">
      <c r="A49" s="139">
        <v>5</v>
      </c>
      <c r="B49" s="140" t="s">
        <v>152</v>
      </c>
      <c r="C49" s="141" t="s">
        <v>317</v>
      </c>
      <c r="D49" s="142">
        <v>0</v>
      </c>
      <c r="E49" s="142">
        <v>0</v>
      </c>
      <c r="F49" s="142">
        <v>0</v>
      </c>
      <c r="G49" s="142">
        <f t="shared" ref="G49:P49" si="16">G50+G56+G53</f>
        <v>22002.800000000003</v>
      </c>
      <c r="H49" s="142">
        <f t="shared" si="16"/>
        <v>6463.3</v>
      </c>
      <c r="I49" s="142">
        <f t="shared" si="16"/>
        <v>19569.800000000003</v>
      </c>
      <c r="J49" s="143">
        <f>J50+J56+J53</f>
        <v>66122.899999999994</v>
      </c>
      <c r="K49" s="197">
        <f t="shared" si="16"/>
        <v>60474.2</v>
      </c>
      <c r="L49" s="198">
        <f t="shared" si="16"/>
        <v>60616</v>
      </c>
      <c r="M49" s="146">
        <f t="shared" si="16"/>
        <v>16530.724999999999</v>
      </c>
      <c r="N49" s="146">
        <f t="shared" si="16"/>
        <v>16530.724999999999</v>
      </c>
      <c r="O49" s="146">
        <f t="shared" si="16"/>
        <v>16530.724999999999</v>
      </c>
      <c r="P49" s="146">
        <f t="shared" si="16"/>
        <v>16530.724999999999</v>
      </c>
      <c r="S49" s="287"/>
    </row>
    <row r="50" spans="1:19" s="5" customFormat="1" ht="36.75" customHeight="1">
      <c r="A50" s="147" t="s">
        <v>71</v>
      </c>
      <c r="B50" s="148" t="s">
        <v>58</v>
      </c>
      <c r="C50" s="149" t="s">
        <v>153</v>
      </c>
      <c r="D50" s="150">
        <f>D51</f>
        <v>0</v>
      </c>
      <c r="E50" s="150">
        <f>E51</f>
        <v>0</v>
      </c>
      <c r="F50" s="150">
        <f>F51</f>
        <v>0</v>
      </c>
      <c r="G50" s="150">
        <f t="shared" ref="G50:L50" si="17">G52</f>
        <v>8472</v>
      </c>
      <c r="H50" s="150">
        <f t="shared" si="17"/>
        <v>5648</v>
      </c>
      <c r="I50" s="150">
        <f>H50/8*12</f>
        <v>8472</v>
      </c>
      <c r="J50" s="151">
        <f t="shared" si="17"/>
        <v>64592.2</v>
      </c>
      <c r="K50" s="199">
        <f t="shared" si="17"/>
        <v>58000</v>
      </c>
      <c r="L50" s="200">
        <f t="shared" si="17"/>
        <v>58000</v>
      </c>
      <c r="M50" s="154">
        <f>M52</f>
        <v>16148.05</v>
      </c>
      <c r="N50" s="154">
        <f>N52</f>
        <v>16148.05</v>
      </c>
      <c r="O50" s="154">
        <f>O52</f>
        <v>16148.05</v>
      </c>
      <c r="P50" s="154">
        <f>P52</f>
        <v>16148.05</v>
      </c>
      <c r="S50" s="288"/>
    </row>
    <row r="51" spans="1:19" s="5" customFormat="1" ht="63" customHeight="1">
      <c r="A51" s="147" t="s">
        <v>79</v>
      </c>
      <c r="B51" s="148" t="s">
        <v>61</v>
      </c>
      <c r="C51" s="149" t="s">
        <v>154</v>
      </c>
      <c r="D51" s="150">
        <v>0</v>
      </c>
      <c r="E51" s="150">
        <v>0</v>
      </c>
      <c r="F51" s="150">
        <v>0</v>
      </c>
      <c r="G51" s="150">
        <f t="shared" ref="G51:P51" si="18">G52</f>
        <v>8472</v>
      </c>
      <c r="H51" s="150">
        <f t="shared" si="18"/>
        <v>5648</v>
      </c>
      <c r="I51" s="150">
        <f>H51/8*12</f>
        <v>8472</v>
      </c>
      <c r="J51" s="151">
        <f t="shared" si="18"/>
        <v>64592.2</v>
      </c>
      <c r="K51" s="201">
        <f t="shared" si="18"/>
        <v>58000</v>
      </c>
      <c r="L51" s="202">
        <f t="shared" si="18"/>
        <v>58000</v>
      </c>
      <c r="M51" s="154">
        <f t="shared" si="18"/>
        <v>16148.05</v>
      </c>
      <c r="N51" s="154">
        <f t="shared" si="18"/>
        <v>16148.05</v>
      </c>
      <c r="O51" s="154">
        <f t="shared" si="18"/>
        <v>16148.05</v>
      </c>
      <c r="P51" s="154">
        <f t="shared" si="18"/>
        <v>16148.05</v>
      </c>
      <c r="S51" s="288"/>
    </row>
    <row r="52" spans="1:19" s="5" customFormat="1" ht="57" customHeight="1" thickBot="1">
      <c r="A52" s="147" t="s">
        <v>151</v>
      </c>
      <c r="B52" s="148" t="s">
        <v>60</v>
      </c>
      <c r="C52" s="149" t="s">
        <v>209</v>
      </c>
      <c r="D52" s="203">
        <f>D53+D57</f>
        <v>793.50000000000011</v>
      </c>
      <c r="E52" s="203">
        <f>E53+E57</f>
        <v>524.20000000000005</v>
      </c>
      <c r="F52" s="203">
        <f>F53+F57</f>
        <v>793.50000000000011</v>
      </c>
      <c r="G52" s="150">
        <v>8472</v>
      </c>
      <c r="H52" s="150">
        <v>5648</v>
      </c>
      <c r="I52" s="150">
        <f>H52/8*12</f>
        <v>8472</v>
      </c>
      <c r="J52" s="151">
        <v>64592.2</v>
      </c>
      <c r="K52" s="204">
        <v>58000</v>
      </c>
      <c r="L52" s="205">
        <v>58000</v>
      </c>
      <c r="M52" s="154">
        <f>J52/4</f>
        <v>16148.05</v>
      </c>
      <c r="N52" s="154">
        <f>J52/4</f>
        <v>16148.05</v>
      </c>
      <c r="O52" s="154">
        <f>J52/4</f>
        <v>16148.05</v>
      </c>
      <c r="P52" s="154">
        <f>J52/4</f>
        <v>16148.05</v>
      </c>
      <c r="S52" s="288"/>
    </row>
    <row r="53" spans="1:19" s="5" customFormat="1" ht="53.25" hidden="1" customHeight="1" thickBot="1">
      <c r="A53" s="139">
        <v>6</v>
      </c>
      <c r="B53" s="140" t="s">
        <v>217</v>
      </c>
      <c r="C53" s="141" t="s">
        <v>318</v>
      </c>
      <c r="D53" s="186">
        <f>D54</f>
        <v>565.40000000000009</v>
      </c>
      <c r="E53" s="186">
        <f t="shared" ref="E53:L54" si="19">E54</f>
        <v>410.1</v>
      </c>
      <c r="F53" s="186">
        <f t="shared" si="19"/>
        <v>565.40000000000009</v>
      </c>
      <c r="G53" s="142">
        <f t="shared" si="19"/>
        <v>11982.7</v>
      </c>
      <c r="H53" s="142">
        <f t="shared" si="19"/>
        <v>0</v>
      </c>
      <c r="I53" s="142">
        <f t="shared" si="19"/>
        <v>9982.7000000000007</v>
      </c>
      <c r="J53" s="143">
        <f t="shared" si="19"/>
        <v>0</v>
      </c>
      <c r="K53" s="187">
        <f t="shared" si="19"/>
        <v>0</v>
      </c>
      <c r="L53" s="188">
        <f t="shared" si="19"/>
        <v>0</v>
      </c>
      <c r="M53" s="146">
        <v>0</v>
      </c>
      <c r="N53" s="146">
        <v>0</v>
      </c>
      <c r="O53" s="146">
        <v>0</v>
      </c>
      <c r="P53" s="146">
        <v>0</v>
      </c>
      <c r="S53" s="288"/>
    </row>
    <row r="54" spans="1:19" s="6" customFormat="1" ht="13.5" hidden="1" thickBot="1">
      <c r="A54" s="206" t="s">
        <v>141</v>
      </c>
      <c r="B54" s="207" t="s">
        <v>218</v>
      </c>
      <c r="C54" s="208" t="s">
        <v>219</v>
      </c>
      <c r="D54" s="168">
        <f>D55+D56</f>
        <v>565.40000000000009</v>
      </c>
      <c r="E54" s="168">
        <f>E55+E56</f>
        <v>410.1</v>
      </c>
      <c r="F54" s="168">
        <f>F55+F56</f>
        <v>565.40000000000009</v>
      </c>
      <c r="G54" s="168">
        <f t="shared" si="19"/>
        <v>11982.7</v>
      </c>
      <c r="H54" s="168">
        <f t="shared" si="19"/>
        <v>0</v>
      </c>
      <c r="I54" s="168">
        <f t="shared" si="19"/>
        <v>9982.7000000000007</v>
      </c>
      <c r="J54" s="209">
        <f t="shared" si="19"/>
        <v>0</v>
      </c>
      <c r="K54" s="210">
        <f t="shared" si="19"/>
        <v>0</v>
      </c>
      <c r="L54" s="211">
        <f t="shared" si="19"/>
        <v>0</v>
      </c>
      <c r="M54" s="154">
        <v>0</v>
      </c>
      <c r="N54" s="154">
        <v>0</v>
      </c>
      <c r="O54" s="154">
        <v>0</v>
      </c>
      <c r="P54" s="154">
        <v>0</v>
      </c>
      <c r="S54" s="287"/>
    </row>
    <row r="55" spans="1:19" ht="53.25" hidden="1" customHeight="1" thickBot="1">
      <c r="A55" s="147" t="s">
        <v>51</v>
      </c>
      <c r="B55" s="148" t="s">
        <v>228</v>
      </c>
      <c r="C55" s="149" t="s">
        <v>229</v>
      </c>
      <c r="D55" s="150">
        <v>552.70000000000005</v>
      </c>
      <c r="E55" s="150">
        <v>410.1</v>
      </c>
      <c r="F55" s="150">
        <v>552.70000000000005</v>
      </c>
      <c r="G55" s="168">
        <v>11982.7</v>
      </c>
      <c r="H55" s="168">
        <v>0</v>
      </c>
      <c r="I55" s="150">
        <v>9982.7000000000007</v>
      </c>
      <c r="J55" s="209">
        <v>0</v>
      </c>
      <c r="K55" s="212"/>
      <c r="L55" s="213"/>
      <c r="M55" s="154">
        <v>0</v>
      </c>
      <c r="N55" s="154">
        <v>0</v>
      </c>
      <c r="O55" s="154">
        <v>0</v>
      </c>
      <c r="P55" s="154">
        <v>0</v>
      </c>
    </row>
    <row r="56" spans="1:19" ht="42" customHeight="1" thickBot="1">
      <c r="A56" s="139">
        <v>7</v>
      </c>
      <c r="B56" s="140" t="s">
        <v>85</v>
      </c>
      <c r="C56" s="141" t="s">
        <v>319</v>
      </c>
      <c r="D56" s="186">
        <v>12.7</v>
      </c>
      <c r="E56" s="186">
        <v>0</v>
      </c>
      <c r="F56" s="186">
        <v>12.7</v>
      </c>
      <c r="G56" s="142">
        <f t="shared" ref="G56:L56" si="20">G57+G61</f>
        <v>1548.1</v>
      </c>
      <c r="H56" s="142">
        <f t="shared" si="20"/>
        <v>815.3</v>
      </c>
      <c r="I56" s="142">
        <f t="shared" si="20"/>
        <v>1115.0999999999999</v>
      </c>
      <c r="J56" s="143">
        <f>J57+J61</f>
        <v>1530.7</v>
      </c>
      <c r="K56" s="187">
        <f t="shared" si="20"/>
        <v>2474.1999999999998</v>
      </c>
      <c r="L56" s="188">
        <f t="shared" si="20"/>
        <v>2616</v>
      </c>
      <c r="M56" s="146">
        <f>M57+M61</f>
        <v>382.67500000000001</v>
      </c>
      <c r="N56" s="146">
        <f>N57+N61</f>
        <v>382.67500000000001</v>
      </c>
      <c r="O56" s="146">
        <f>O57+O61</f>
        <v>382.67500000000001</v>
      </c>
      <c r="P56" s="146">
        <f>P57+P61</f>
        <v>382.67500000000001</v>
      </c>
    </row>
    <row r="57" spans="1:19" ht="43.5" customHeight="1">
      <c r="A57" s="174" t="s">
        <v>156</v>
      </c>
      <c r="B57" s="175" t="s">
        <v>87</v>
      </c>
      <c r="C57" s="176" t="s">
        <v>86</v>
      </c>
      <c r="D57" s="184">
        <f>D59</f>
        <v>228.1</v>
      </c>
      <c r="E57" s="184">
        <f>E59</f>
        <v>114.1</v>
      </c>
      <c r="F57" s="184">
        <f>F59</f>
        <v>228.1</v>
      </c>
      <c r="G57" s="168">
        <f t="shared" ref="G57:P57" si="21">G58</f>
        <v>662.2</v>
      </c>
      <c r="H57" s="168">
        <f t="shared" si="21"/>
        <v>485.4</v>
      </c>
      <c r="I57" s="150">
        <f>H57/8*12</f>
        <v>728.09999999999991</v>
      </c>
      <c r="J57" s="209">
        <f t="shared" si="21"/>
        <v>804.2</v>
      </c>
      <c r="K57" s="210">
        <f t="shared" si="21"/>
        <v>740.1</v>
      </c>
      <c r="L57" s="211">
        <f t="shared" si="21"/>
        <v>780.8</v>
      </c>
      <c r="M57" s="154">
        <f t="shared" si="21"/>
        <v>201.05</v>
      </c>
      <c r="N57" s="154">
        <f t="shared" si="21"/>
        <v>201.05</v>
      </c>
      <c r="O57" s="154">
        <f t="shared" si="21"/>
        <v>201.05</v>
      </c>
      <c r="P57" s="154">
        <f t="shared" si="21"/>
        <v>201.05</v>
      </c>
    </row>
    <row r="58" spans="1:19" ht="65.099999999999994" customHeight="1">
      <c r="A58" s="174" t="s">
        <v>72</v>
      </c>
      <c r="B58" s="175" t="s">
        <v>88</v>
      </c>
      <c r="C58" s="176" t="s">
        <v>284</v>
      </c>
      <c r="D58" s="150">
        <v>228.1</v>
      </c>
      <c r="E58" s="150">
        <v>114.1</v>
      </c>
      <c r="F58" s="150">
        <v>228.1</v>
      </c>
      <c r="G58" s="168">
        <f t="shared" ref="G58:L58" si="22">G59+G60</f>
        <v>662.2</v>
      </c>
      <c r="H58" s="168">
        <f t="shared" si="22"/>
        <v>485.4</v>
      </c>
      <c r="I58" s="168">
        <f t="shared" si="22"/>
        <v>662.2</v>
      </c>
      <c r="J58" s="209">
        <f>J59</f>
        <v>804.2</v>
      </c>
      <c r="K58" s="214">
        <f t="shared" si="22"/>
        <v>740.1</v>
      </c>
      <c r="L58" s="215">
        <f t="shared" si="22"/>
        <v>780.8</v>
      </c>
      <c r="M58" s="154">
        <f>J58/4</f>
        <v>201.05</v>
      </c>
      <c r="N58" s="154">
        <f>J58/4</f>
        <v>201.05</v>
      </c>
      <c r="O58" s="154">
        <f>J58/4</f>
        <v>201.05</v>
      </c>
      <c r="P58" s="154">
        <f>J58/4</f>
        <v>201.05</v>
      </c>
    </row>
    <row r="59" spans="1:19" ht="68.25" customHeight="1">
      <c r="A59" s="147" t="s">
        <v>271</v>
      </c>
      <c r="B59" s="148" t="s">
        <v>132</v>
      </c>
      <c r="C59" s="216" t="s">
        <v>285</v>
      </c>
      <c r="D59" s="150">
        <v>228.1</v>
      </c>
      <c r="E59" s="150">
        <v>114.1</v>
      </c>
      <c r="F59" s="150">
        <v>228.1</v>
      </c>
      <c r="G59" s="168">
        <v>657.2</v>
      </c>
      <c r="H59" s="150">
        <v>485.4</v>
      </c>
      <c r="I59" s="150">
        <v>657.2</v>
      </c>
      <c r="J59" s="151">
        <v>804.2</v>
      </c>
      <c r="K59" s="192">
        <v>740.1</v>
      </c>
      <c r="L59" s="193">
        <v>780.8</v>
      </c>
      <c r="M59" s="154">
        <f>J59/4</f>
        <v>201.05</v>
      </c>
      <c r="N59" s="154">
        <f>J59/4</f>
        <v>201.05</v>
      </c>
      <c r="O59" s="154">
        <f>J59/4</f>
        <v>201.05</v>
      </c>
      <c r="P59" s="154">
        <f>J59/4</f>
        <v>201.05</v>
      </c>
    </row>
    <row r="60" spans="1:19" ht="93" customHeight="1" thickBot="1">
      <c r="A60" s="147" t="s">
        <v>286</v>
      </c>
      <c r="B60" s="148" t="s">
        <v>129</v>
      </c>
      <c r="C60" s="216" t="s">
        <v>287</v>
      </c>
      <c r="D60" s="150">
        <v>228.1</v>
      </c>
      <c r="E60" s="150">
        <v>114.1</v>
      </c>
      <c r="F60" s="150">
        <v>228.1</v>
      </c>
      <c r="G60" s="150">
        <v>5</v>
      </c>
      <c r="H60" s="150"/>
      <c r="I60" s="150">
        <v>5</v>
      </c>
      <c r="J60" s="151">
        <v>5.9</v>
      </c>
      <c r="K60" s="217"/>
      <c r="L60" s="218"/>
      <c r="M60" s="154">
        <f>J60/4</f>
        <v>1.4750000000000001</v>
      </c>
      <c r="N60" s="154">
        <f>J60/4</f>
        <v>1.4750000000000001</v>
      </c>
      <c r="O60" s="154">
        <f>J60/4</f>
        <v>1.4750000000000001</v>
      </c>
      <c r="P60" s="154">
        <f>J60/4</f>
        <v>1.4750000000000001</v>
      </c>
    </row>
    <row r="61" spans="1:19" ht="52.5" customHeight="1" thickBot="1">
      <c r="A61" s="147" t="s">
        <v>320</v>
      </c>
      <c r="B61" s="148" t="s">
        <v>84</v>
      </c>
      <c r="C61" s="216" t="s">
        <v>288</v>
      </c>
      <c r="D61" s="151" t="e">
        <f>D9+D44</f>
        <v>#REF!</v>
      </c>
      <c r="E61" s="151" t="e">
        <f>E9+E44</f>
        <v>#REF!</v>
      </c>
      <c r="F61" s="151" t="e">
        <f>F9+F44</f>
        <v>#REF!</v>
      </c>
      <c r="G61" s="150">
        <f t="shared" ref="G61:L61" si="23">G63+G64</f>
        <v>885.9</v>
      </c>
      <c r="H61" s="150">
        <f t="shared" si="23"/>
        <v>329.9</v>
      </c>
      <c r="I61" s="150">
        <f t="shared" si="23"/>
        <v>387</v>
      </c>
      <c r="J61" s="151">
        <f t="shared" si="23"/>
        <v>726.5</v>
      </c>
      <c r="K61" s="219">
        <f t="shared" si="23"/>
        <v>1734.1</v>
      </c>
      <c r="L61" s="220">
        <f t="shared" si="23"/>
        <v>1835.1999999999998</v>
      </c>
      <c r="M61" s="154">
        <f>M63+M64</f>
        <v>181.625</v>
      </c>
      <c r="N61" s="154">
        <f>N63+N64</f>
        <v>181.625</v>
      </c>
      <c r="O61" s="154">
        <f>O63+O64</f>
        <v>181.625</v>
      </c>
      <c r="P61" s="154">
        <f>P63+P64</f>
        <v>181.625</v>
      </c>
    </row>
    <row r="62" spans="1:19" ht="63.75">
      <c r="A62" s="147" t="s">
        <v>205</v>
      </c>
      <c r="B62" s="148" t="s">
        <v>204</v>
      </c>
      <c r="C62" s="216" t="s">
        <v>206</v>
      </c>
      <c r="D62" s="221">
        <v>30381.3</v>
      </c>
      <c r="E62" s="221">
        <f>[1]ведомст.структ!I79</f>
        <v>20086.600000000002</v>
      </c>
      <c r="F62" s="221">
        <f>[1]ведомст.структ!J79</f>
        <v>30141.100000000002</v>
      </c>
      <c r="G62" s="222">
        <f t="shared" ref="G62:L62" si="24">G63+G64</f>
        <v>885.9</v>
      </c>
      <c r="H62" s="222">
        <f t="shared" si="24"/>
        <v>329.9</v>
      </c>
      <c r="I62" s="222">
        <f t="shared" si="24"/>
        <v>387</v>
      </c>
      <c r="J62" s="209">
        <f t="shared" si="24"/>
        <v>726.5</v>
      </c>
      <c r="K62" s="223">
        <f t="shared" si="24"/>
        <v>1734.1</v>
      </c>
      <c r="L62" s="224">
        <f t="shared" si="24"/>
        <v>1835.1999999999998</v>
      </c>
      <c r="M62" s="154">
        <f>M63+M64</f>
        <v>181.625</v>
      </c>
      <c r="N62" s="154">
        <f>N63+N64</f>
        <v>181.625</v>
      </c>
      <c r="O62" s="154">
        <f>O63+O64</f>
        <v>181.625</v>
      </c>
      <c r="P62" s="154">
        <f>P63+P64</f>
        <v>181.625</v>
      </c>
    </row>
    <row r="63" spans="1:19" ht="45" customHeight="1">
      <c r="A63" s="147" t="s">
        <v>207</v>
      </c>
      <c r="B63" s="148" t="s">
        <v>89</v>
      </c>
      <c r="C63" s="149" t="s">
        <v>289</v>
      </c>
      <c r="D63" s="184" t="e">
        <f>D61-D62</f>
        <v>#REF!</v>
      </c>
      <c r="E63" s="184" t="e">
        <f>E61-E62</f>
        <v>#REF!</v>
      </c>
      <c r="F63" s="184" t="e">
        <f>F61-F62</f>
        <v>#REF!</v>
      </c>
      <c r="G63" s="150">
        <v>602.4</v>
      </c>
      <c r="H63" s="150">
        <v>258</v>
      </c>
      <c r="I63" s="150">
        <f>H63/8*12</f>
        <v>387</v>
      </c>
      <c r="J63" s="151">
        <v>726.5</v>
      </c>
      <c r="K63" s="225">
        <v>1155.3</v>
      </c>
      <c r="L63" s="193">
        <v>1218.8</v>
      </c>
      <c r="M63" s="154">
        <f>J63/4</f>
        <v>181.625</v>
      </c>
      <c r="N63" s="154">
        <f>J63/4</f>
        <v>181.625</v>
      </c>
      <c r="O63" s="154">
        <f>J63/4</f>
        <v>181.625</v>
      </c>
      <c r="P63" s="154">
        <f>J63/4</f>
        <v>181.625</v>
      </c>
    </row>
    <row r="64" spans="1:19" ht="46.5" customHeight="1" thickBot="1">
      <c r="A64" s="147" t="s">
        <v>321</v>
      </c>
      <c r="B64" s="148" t="s">
        <v>247</v>
      </c>
      <c r="C64" s="149" t="s">
        <v>290</v>
      </c>
      <c r="D64" s="157"/>
      <c r="E64" s="226"/>
      <c r="F64" s="226"/>
      <c r="G64" s="150">
        <v>283.5</v>
      </c>
      <c r="H64" s="150">
        <v>71.900000000000006</v>
      </c>
      <c r="I64" s="150"/>
      <c r="J64" s="151">
        <v>0</v>
      </c>
      <c r="K64" s="225">
        <v>578.79999999999995</v>
      </c>
      <c r="L64" s="193">
        <v>616.4</v>
      </c>
      <c r="M64" s="154">
        <f>J64/4</f>
        <v>0</v>
      </c>
      <c r="N64" s="154">
        <f>J64/4</f>
        <v>0</v>
      </c>
      <c r="O64" s="154">
        <f>J64/4</f>
        <v>0</v>
      </c>
      <c r="P64" s="154">
        <f>J64/4</f>
        <v>0</v>
      </c>
    </row>
    <row r="65" spans="1:16" ht="19.5" thickBot="1">
      <c r="A65" s="126"/>
      <c r="B65" s="227"/>
      <c r="C65" s="228" t="s">
        <v>9</v>
      </c>
      <c r="D65" s="221" t="e">
        <f>D61-D44</f>
        <v>#REF!</v>
      </c>
      <c r="E65" s="221" t="e">
        <f>E61-E44</f>
        <v>#REF!</v>
      </c>
      <c r="F65" s="221" t="e">
        <f>F61-F44</f>
        <v>#REF!</v>
      </c>
      <c r="G65" s="221">
        <f t="shared" ref="G65:P65" si="25">G9+G48</f>
        <v>51728.200000000004</v>
      </c>
      <c r="H65" s="221">
        <f t="shared" si="25"/>
        <v>23927.699999999997</v>
      </c>
      <c r="I65" s="221">
        <f t="shared" si="25"/>
        <v>48661.7</v>
      </c>
      <c r="J65" s="221">
        <f>J9+J48</f>
        <v>92568.5</v>
      </c>
      <c r="K65" s="229">
        <f t="shared" si="25"/>
        <v>87828.79</v>
      </c>
      <c r="L65" s="230">
        <f t="shared" si="25"/>
        <v>89475.092449999996</v>
      </c>
      <c r="M65" s="158">
        <f t="shared" si="25"/>
        <v>25029.891666666663</v>
      </c>
      <c r="N65" s="158">
        <f t="shared" si="25"/>
        <v>25029.891666666663</v>
      </c>
      <c r="O65" s="158">
        <f t="shared" si="25"/>
        <v>25029.891666666663</v>
      </c>
      <c r="P65" s="158">
        <f t="shared" si="25"/>
        <v>16664.224999999999</v>
      </c>
    </row>
    <row r="66" spans="1:16" ht="18.75" hidden="1">
      <c r="A66" s="110"/>
      <c r="B66" s="109"/>
      <c r="C66" s="107" t="s">
        <v>12</v>
      </c>
      <c r="G66" s="111" t="e">
        <f>#REF!</f>
        <v>#REF!</v>
      </c>
      <c r="H66" s="111" t="e">
        <f>#REF!</f>
        <v>#REF!</v>
      </c>
      <c r="I66" s="111" t="e">
        <f>#REF!</f>
        <v>#REF!</v>
      </c>
      <c r="J66" s="111" t="e">
        <f>#REF!</f>
        <v>#REF!</v>
      </c>
      <c r="K66" s="111" t="e">
        <f>#REF!</f>
        <v>#REF!</v>
      </c>
      <c r="L66" s="111" t="e">
        <f>#REF!</f>
        <v>#REF!</v>
      </c>
    </row>
    <row r="67" spans="1:16" ht="18.75" hidden="1">
      <c r="A67" s="110"/>
      <c r="B67" s="109"/>
      <c r="C67" s="105" t="s">
        <v>13</v>
      </c>
      <c r="G67" s="106" t="e">
        <f t="shared" ref="G67:L67" si="26">G65-G66</f>
        <v>#REF!</v>
      </c>
      <c r="H67" s="106" t="e">
        <f t="shared" si="26"/>
        <v>#REF!</v>
      </c>
      <c r="I67" s="106" t="e">
        <f t="shared" si="26"/>
        <v>#REF!</v>
      </c>
      <c r="J67" s="106" t="e">
        <f>J65-J66</f>
        <v>#REF!</v>
      </c>
      <c r="K67" s="106" t="e">
        <f t="shared" si="26"/>
        <v>#REF!</v>
      </c>
      <c r="L67" s="106" t="e">
        <f t="shared" si="26"/>
        <v>#REF!</v>
      </c>
    </row>
    <row r="68" spans="1:16" hidden="1">
      <c r="A68" s="112"/>
    </row>
    <row r="69" spans="1:16" ht="19.5" hidden="1" thickBot="1">
      <c r="A69" s="113"/>
      <c r="B69" s="114" t="s">
        <v>213</v>
      </c>
      <c r="C69" s="114"/>
      <c r="G69" s="104">
        <f t="shared" ref="G69:L69" si="27">G65-G48</f>
        <v>29725.4</v>
      </c>
      <c r="H69" s="104">
        <f t="shared" si="27"/>
        <v>17464.399999999998</v>
      </c>
      <c r="I69" s="104">
        <f t="shared" si="27"/>
        <v>29091.899999999994</v>
      </c>
      <c r="J69" s="104">
        <f t="shared" si="27"/>
        <v>26445.600000000006</v>
      </c>
      <c r="K69" s="104">
        <f t="shared" si="27"/>
        <v>27354.589999999997</v>
      </c>
      <c r="L69" s="104">
        <f t="shared" si="27"/>
        <v>28859.092449999996</v>
      </c>
    </row>
    <row r="70" spans="1:16" hidden="1"/>
    <row r="71" spans="1:16" hidden="1"/>
    <row r="72" spans="1:16" hidden="1">
      <c r="J72" s="2">
        <f>J65-J56</f>
        <v>91037.8</v>
      </c>
    </row>
    <row r="73" spans="1:16" hidden="1">
      <c r="J73" s="2">
        <f>J72*0.31</f>
        <v>28221.718000000001</v>
      </c>
    </row>
    <row r="74" spans="1:16" hidden="1"/>
    <row r="75" spans="1:16" hidden="1"/>
    <row r="77" spans="1:16">
      <c r="P77" s="119"/>
    </row>
  </sheetData>
  <mergeCells count="5">
    <mergeCell ref="A6:P6"/>
    <mergeCell ref="O7:P7"/>
    <mergeCell ref="C1:P1"/>
    <mergeCell ref="C4:P4"/>
    <mergeCell ref="A5:P5"/>
  </mergeCells>
  <pageMargins left="0.59055118110236227" right="0.39370078740157483" top="0.39370078740157483" bottom="0.39370078740157483" header="0" footer="0"/>
  <pageSetup paperSize="9" scale="70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X54"/>
  <sheetViews>
    <sheetView zoomScale="87" zoomScaleNormal="87" workbookViewId="0">
      <selection activeCell="J16" sqref="J16"/>
    </sheetView>
  </sheetViews>
  <sheetFormatPr defaultColWidth="9.140625" defaultRowHeight="12.75"/>
  <cols>
    <col min="1" max="1" width="9.140625" style="1" customWidth="1"/>
    <col min="2" max="2" width="38.5703125" style="1" customWidth="1"/>
    <col min="3" max="3" width="51.42578125" style="2" customWidth="1"/>
    <col min="4" max="4" width="11.7109375" style="6" hidden="1" customWidth="1"/>
    <col min="5" max="5" width="10.85546875" style="2" hidden="1" customWidth="1"/>
    <col min="6" max="6" width="13.42578125" style="2" hidden="1" customWidth="1"/>
    <col min="7" max="7" width="15.85546875" style="2" hidden="1" customWidth="1"/>
    <col min="8" max="8" width="14" style="2" hidden="1" customWidth="1"/>
    <col min="9" max="9" width="16.5703125" style="2" hidden="1" customWidth="1"/>
    <col min="10" max="10" width="17.140625" style="2" customWidth="1"/>
    <col min="11" max="11" width="12.7109375" style="2" hidden="1" customWidth="1"/>
    <col min="12" max="12" width="12" style="2" hidden="1" customWidth="1"/>
    <col min="13" max="13" width="10.140625" style="2" hidden="1" customWidth="1"/>
    <col min="14" max="16" width="0" style="2" hidden="1" customWidth="1"/>
    <col min="17" max="17" width="17" style="2" hidden="1" customWidth="1"/>
    <col min="18" max="18" width="16.5703125" style="2" hidden="1" customWidth="1"/>
    <col min="19" max="19" width="9.140625" style="283"/>
    <col min="20" max="20" width="13.28515625" style="2" hidden="1" customWidth="1"/>
    <col min="21" max="23" width="0" style="2" hidden="1" customWidth="1"/>
    <col min="24" max="24" width="10.140625" style="2" bestFit="1" customWidth="1"/>
    <col min="25" max="16384" width="9.140625" style="2"/>
  </cols>
  <sheetData>
    <row r="1" spans="1:24" ht="21" customHeight="1">
      <c r="A1" s="499"/>
      <c r="B1" s="234"/>
      <c r="C1" s="617" t="s">
        <v>578</v>
      </c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</row>
    <row r="2" spans="1:24" ht="21" customHeight="1">
      <c r="A2" s="498"/>
      <c r="B2" s="383"/>
      <c r="C2" s="383"/>
      <c r="D2" s="383"/>
      <c r="E2" s="383"/>
      <c r="F2" s="383"/>
      <c r="G2" s="383"/>
      <c r="H2" s="383"/>
      <c r="I2" s="383"/>
      <c r="J2" s="424" t="s">
        <v>577</v>
      </c>
      <c r="K2" s="383"/>
      <c r="L2" s="383"/>
      <c r="M2" s="383"/>
      <c r="N2" s="383"/>
      <c r="O2" s="383"/>
      <c r="P2" s="383"/>
    </row>
    <row r="3" spans="1:24" ht="21" customHeight="1">
      <c r="A3" s="498"/>
      <c r="B3" s="383"/>
      <c r="C3" s="618"/>
      <c r="D3" s="618"/>
      <c r="E3" s="618"/>
      <c r="F3" s="618"/>
      <c r="G3" s="618"/>
      <c r="H3" s="618"/>
      <c r="I3" s="618"/>
      <c r="J3" s="618"/>
      <c r="K3" s="383"/>
      <c r="L3" s="383"/>
      <c r="M3" s="383"/>
      <c r="N3" s="383"/>
      <c r="O3" s="383"/>
      <c r="P3" s="383"/>
    </row>
    <row r="4" spans="1:24" ht="21" customHeight="1">
      <c r="A4" s="498"/>
      <c r="B4" s="383"/>
      <c r="C4" s="618"/>
      <c r="D4" s="618"/>
      <c r="E4" s="618"/>
      <c r="F4" s="618"/>
      <c r="G4" s="618"/>
      <c r="H4" s="618"/>
      <c r="I4" s="618"/>
      <c r="J4" s="618"/>
      <c r="K4" s="383"/>
      <c r="L4" s="383"/>
      <c r="M4" s="383"/>
      <c r="N4" s="383"/>
      <c r="O4" s="383"/>
      <c r="P4" s="383"/>
    </row>
    <row r="5" spans="1:24" ht="20.25" customHeight="1">
      <c r="A5" s="498"/>
      <c r="B5" s="232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</row>
    <row r="6" spans="1:24" ht="20.25" customHeight="1">
      <c r="A6" s="498"/>
      <c r="B6" s="232"/>
      <c r="C6" s="620"/>
      <c r="D6" s="620"/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0"/>
    </row>
    <row r="7" spans="1:24" ht="22.5" customHeight="1">
      <c r="A7" s="615" t="s">
        <v>377</v>
      </c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</row>
    <row r="8" spans="1:24" ht="27.6" customHeight="1">
      <c r="A8" s="615" t="s">
        <v>593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615"/>
      <c r="N8" s="615"/>
      <c r="O8" s="615"/>
      <c r="P8" s="615"/>
    </row>
    <row r="9" spans="1:24" ht="27.6" customHeight="1" thickBot="1">
      <c r="A9" s="497"/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616" t="s">
        <v>373</v>
      </c>
      <c r="P9" s="616"/>
      <c r="Q9" s="2">
        <v>2017</v>
      </c>
      <c r="R9" s="2">
        <v>2018</v>
      </c>
    </row>
    <row r="10" spans="1:24" s="7" customFormat="1" ht="61.5" customHeight="1" thickBot="1">
      <c r="A10" s="496" t="s">
        <v>0</v>
      </c>
      <c r="B10" s="496" t="s">
        <v>11</v>
      </c>
      <c r="C10" s="486" t="s">
        <v>1</v>
      </c>
      <c r="D10" s="495" t="s">
        <v>211</v>
      </c>
      <c r="E10" s="495" t="s">
        <v>216</v>
      </c>
      <c r="F10" s="495" t="s">
        <v>212</v>
      </c>
      <c r="G10" s="495" t="s">
        <v>275</v>
      </c>
      <c r="H10" s="495" t="s">
        <v>299</v>
      </c>
      <c r="I10" s="495" t="s">
        <v>249</v>
      </c>
      <c r="J10" s="495" t="s">
        <v>301</v>
      </c>
      <c r="K10" s="494" t="s">
        <v>246</v>
      </c>
      <c r="L10" s="493" t="s">
        <v>250</v>
      </c>
      <c r="M10" s="492" t="s">
        <v>369</v>
      </c>
      <c r="N10" s="492" t="s">
        <v>370</v>
      </c>
      <c r="O10" s="492" t="s">
        <v>371</v>
      </c>
      <c r="P10" s="492" t="s">
        <v>372</v>
      </c>
      <c r="Q10" s="491" t="s">
        <v>301</v>
      </c>
      <c r="R10" s="491" t="s">
        <v>301</v>
      </c>
      <c r="S10" s="284"/>
    </row>
    <row r="11" spans="1:24" s="3" customFormat="1" ht="16.5" thickBot="1">
      <c r="A11" s="486" t="s">
        <v>2</v>
      </c>
      <c r="B11" s="485" t="s">
        <v>16</v>
      </c>
      <c r="C11" s="490" t="s">
        <v>315</v>
      </c>
      <c r="D11" s="483" t="e">
        <f>D12+#REF!+D21+D24+#REF!</f>
        <v>#REF!</v>
      </c>
      <c r="E11" s="483" t="e">
        <f>E12+#REF!+E21+E24+#REF!</f>
        <v>#REF!</v>
      </c>
      <c r="F11" s="483" t="e">
        <f>F12+#REF!+F21+F24+#REF!</f>
        <v>#REF!</v>
      </c>
      <c r="G11" s="483" t="e">
        <f>G12+#REF!+G21+#REF!+G32</f>
        <v>#REF!</v>
      </c>
      <c r="H11" s="483" t="e">
        <f>H12+#REF!+H21+#REF!+H32</f>
        <v>#REF!</v>
      </c>
      <c r="I11" s="483" t="e">
        <f>I12+#REF!+I21+#REF!+I32</f>
        <v>#REF!</v>
      </c>
      <c r="J11" s="482">
        <f>J12+J21+J28+J32</f>
        <v>46208.399999999994</v>
      </c>
      <c r="K11" s="489" t="e">
        <f>K12+#REF!+K21+#REF!+K32</f>
        <v>#REF!</v>
      </c>
      <c r="L11" s="488" t="e">
        <f>L12+#REF!+L21+#REF!+L32</f>
        <v>#REF!</v>
      </c>
      <c r="M11" s="487" t="e">
        <f>M12+#REF!+M21+#REF!+M32</f>
        <v>#REF!</v>
      </c>
      <c r="N11" s="487" t="e">
        <f>N12+#REF!+N21+#REF!+N32</f>
        <v>#REF!</v>
      </c>
      <c r="O11" s="487" t="e">
        <f>O12+#REF!+O21+#REF!+O32</f>
        <v>#REF!</v>
      </c>
      <c r="P11" s="487" t="e">
        <f>P12+#REF!+P21+#REF!+P32</f>
        <v>#REF!</v>
      </c>
      <c r="Q11" s="459" t="e">
        <f>Q12+#REF!+Q21+Q28</f>
        <v>#REF!</v>
      </c>
      <c r="R11" s="459" t="e">
        <f>R12+#REF!+R21+R28</f>
        <v>#REF!</v>
      </c>
      <c r="S11" s="285"/>
    </row>
    <row r="12" spans="1:24" s="4" customFormat="1" ht="16.5" thickBot="1">
      <c r="A12" s="486" t="s">
        <v>7</v>
      </c>
      <c r="B12" s="485" t="s">
        <v>148</v>
      </c>
      <c r="C12" s="484" t="s">
        <v>5</v>
      </c>
      <c r="D12" s="483" t="e">
        <f t="shared" ref="D12:I12" si="0">D13+D18</f>
        <v>#REF!</v>
      </c>
      <c r="E12" s="483" t="e">
        <f t="shared" si="0"/>
        <v>#REF!</v>
      </c>
      <c r="F12" s="483" t="e">
        <f t="shared" si="0"/>
        <v>#REF!</v>
      </c>
      <c r="G12" s="483" t="e">
        <f t="shared" si="0"/>
        <v>#REF!</v>
      </c>
      <c r="H12" s="483" t="e">
        <f t="shared" si="0"/>
        <v>#REF!</v>
      </c>
      <c r="I12" s="483" t="e">
        <f t="shared" si="0"/>
        <v>#REF!</v>
      </c>
      <c r="J12" s="482">
        <f>J13+J18+J20</f>
        <v>33964.400000000001</v>
      </c>
      <c r="K12" s="481" t="e">
        <f t="shared" ref="K12:P12" si="1">K13+K18</f>
        <v>#REF!</v>
      </c>
      <c r="L12" s="480" t="e">
        <f t="shared" si="1"/>
        <v>#REF!</v>
      </c>
      <c r="M12" s="479" t="e">
        <f t="shared" si="1"/>
        <v>#REF!</v>
      </c>
      <c r="N12" s="479" t="e">
        <f t="shared" si="1"/>
        <v>#REF!</v>
      </c>
      <c r="O12" s="479" t="e">
        <f t="shared" si="1"/>
        <v>#REF!</v>
      </c>
      <c r="P12" s="479" t="e">
        <f t="shared" si="1"/>
        <v>#REF!</v>
      </c>
      <c r="Q12" s="448" t="e">
        <f>Q13+Q18+Q20</f>
        <v>#REF!</v>
      </c>
      <c r="R12" s="448" t="e">
        <f>R13+R18+R20</f>
        <v>#REF!</v>
      </c>
      <c r="S12" s="286"/>
    </row>
    <row r="13" spans="1:24" s="6" customFormat="1" ht="34.5" customHeight="1">
      <c r="A13" s="435" t="s">
        <v>62</v>
      </c>
      <c r="B13" s="434" t="s">
        <v>243</v>
      </c>
      <c r="C13" s="433" t="s">
        <v>142</v>
      </c>
      <c r="D13" s="432" t="e">
        <f>D14+D16+#REF!+#REF!</f>
        <v>#REF!</v>
      </c>
      <c r="E13" s="432" t="e">
        <f>E14+E16+#REF!+#REF!</f>
        <v>#REF!</v>
      </c>
      <c r="F13" s="432" t="e">
        <f>F14+F16+#REF!+#REF!</f>
        <v>#REF!</v>
      </c>
      <c r="G13" s="432" t="e">
        <f>G14+G16+#REF!+#REF!+G17</f>
        <v>#REF!</v>
      </c>
      <c r="H13" s="432" t="e">
        <f>H14+H16+#REF!+#REF!+H17</f>
        <v>#REF!</v>
      </c>
      <c r="I13" s="432" t="e">
        <f>I14+I16+#REF!+#REF!+I17+I18</f>
        <v>#REF!</v>
      </c>
      <c r="J13" s="429">
        <f>J14+J15+J17</f>
        <v>32374.2</v>
      </c>
      <c r="K13" s="478" t="e">
        <f>K14+K16+#REF!+#REF!+K17+K18</f>
        <v>#REF!</v>
      </c>
      <c r="L13" s="467" t="e">
        <f>L14+L16+#REF!+#REF!+L17+L18</f>
        <v>#REF!</v>
      </c>
      <c r="M13" s="154" t="e">
        <f>M14+M16+#REF!+#REF!+M17</f>
        <v>#REF!</v>
      </c>
      <c r="N13" s="154" t="e">
        <f>N14+N16+#REF!+#REF!+N17</f>
        <v>#REF!</v>
      </c>
      <c r="O13" s="154" t="e">
        <f>O14+O16+#REF!+#REF!+O17</f>
        <v>#REF!</v>
      </c>
      <c r="P13" s="154" t="e">
        <f>P14+P16+#REF!+#REF!+P17</f>
        <v>#REF!</v>
      </c>
      <c r="Q13" s="429" t="e">
        <f>Q14+Q16+#REF!+#REF!+Q17</f>
        <v>#REF!</v>
      </c>
      <c r="R13" s="429" t="e">
        <f>R14+R16+#REF!+#REF!+R17</f>
        <v>#REF!</v>
      </c>
      <c r="S13" s="287"/>
    </row>
    <row r="14" spans="1:24" s="6" customFormat="1" ht="36" customHeight="1">
      <c r="A14" s="435" t="s">
        <v>45</v>
      </c>
      <c r="B14" s="434" t="s">
        <v>194</v>
      </c>
      <c r="C14" s="433" t="s">
        <v>143</v>
      </c>
      <c r="D14" s="432">
        <v>6131.4</v>
      </c>
      <c r="E14" s="432">
        <v>3667.3</v>
      </c>
      <c r="F14" s="432">
        <f>E14/8*12</f>
        <v>5500.9500000000007</v>
      </c>
      <c r="G14" s="432">
        <v>17300</v>
      </c>
      <c r="H14" s="432">
        <v>8970.7999999999993</v>
      </c>
      <c r="I14" s="432">
        <v>15500</v>
      </c>
      <c r="J14" s="429">
        <f>28220.4-163.4-31.1</f>
        <v>28025.9</v>
      </c>
      <c r="K14" s="466">
        <f t="shared" ref="K14:K20" si="2">J14*1.058</f>
        <v>29651.402200000004</v>
      </c>
      <c r="L14" s="465">
        <f t="shared" ref="L14:L20" si="3">K14*1.055</f>
        <v>31282.229321000003</v>
      </c>
      <c r="M14" s="154">
        <f>J14/3</f>
        <v>9341.9666666666672</v>
      </c>
      <c r="N14" s="154">
        <f>J14/3</f>
        <v>9341.9666666666672</v>
      </c>
      <c r="O14" s="154">
        <f>J14/3</f>
        <v>9341.9666666666672</v>
      </c>
      <c r="P14" s="154">
        <v>0</v>
      </c>
      <c r="Q14" s="429">
        <f>J14*108%</f>
        <v>30267.972000000005</v>
      </c>
      <c r="R14" s="429">
        <f>Q14*106.9%</f>
        <v>32356.462068000004</v>
      </c>
      <c r="S14" s="287"/>
      <c r="X14" s="477"/>
    </row>
    <row r="15" spans="1:24" s="6" customFormat="1" ht="39.75" customHeight="1">
      <c r="A15" s="435" t="s">
        <v>63</v>
      </c>
      <c r="B15" s="434" t="s">
        <v>276</v>
      </c>
      <c r="C15" s="433" t="s">
        <v>576</v>
      </c>
      <c r="D15" s="432"/>
      <c r="E15" s="432"/>
      <c r="F15" s="432"/>
      <c r="G15" s="432">
        <f>G16</f>
        <v>760</v>
      </c>
      <c r="H15" s="432">
        <f>H16</f>
        <v>824.4</v>
      </c>
      <c r="I15" s="432">
        <f>I16</f>
        <v>1236.5999999999999</v>
      </c>
      <c r="J15" s="429">
        <f>J16</f>
        <v>4343.3</v>
      </c>
      <c r="K15" s="466">
        <f t="shared" si="2"/>
        <v>4595.2114000000001</v>
      </c>
      <c r="L15" s="465">
        <f t="shared" si="3"/>
        <v>4847.9480269999995</v>
      </c>
      <c r="M15" s="154">
        <f t="shared" ref="M15:R15" si="4">M16</f>
        <v>1447.7666666666667</v>
      </c>
      <c r="N15" s="154">
        <f t="shared" si="4"/>
        <v>1447.7666666666667</v>
      </c>
      <c r="O15" s="154">
        <f t="shared" si="4"/>
        <v>1447.7666666666667</v>
      </c>
      <c r="P15" s="154">
        <f t="shared" si="4"/>
        <v>0</v>
      </c>
      <c r="Q15" s="429">
        <f t="shared" si="4"/>
        <v>4690.7640000000001</v>
      </c>
      <c r="R15" s="429">
        <f t="shared" si="4"/>
        <v>5014.4267159999999</v>
      </c>
      <c r="S15" s="287"/>
    </row>
    <row r="16" spans="1:24" s="6" customFormat="1" ht="56.25" customHeight="1">
      <c r="A16" s="435" t="s">
        <v>178</v>
      </c>
      <c r="B16" s="434" t="s">
        <v>197</v>
      </c>
      <c r="C16" s="433" t="s">
        <v>576</v>
      </c>
      <c r="D16" s="432">
        <v>800</v>
      </c>
      <c r="E16" s="432">
        <v>733.2</v>
      </c>
      <c r="F16" s="432">
        <f>E16/8*12</f>
        <v>1099.8000000000002</v>
      </c>
      <c r="G16" s="432">
        <v>760</v>
      </c>
      <c r="H16" s="432">
        <v>824.4</v>
      </c>
      <c r="I16" s="432">
        <f>H16/8*12</f>
        <v>1236.5999999999999</v>
      </c>
      <c r="J16" s="429">
        <f>4054+289.3</f>
        <v>4343.3</v>
      </c>
      <c r="K16" s="466">
        <f t="shared" si="2"/>
        <v>4595.2114000000001</v>
      </c>
      <c r="L16" s="465">
        <f t="shared" si="3"/>
        <v>4847.9480269999995</v>
      </c>
      <c r="M16" s="154">
        <f>J16/3</f>
        <v>1447.7666666666667</v>
      </c>
      <c r="N16" s="154">
        <f>J16/3</f>
        <v>1447.7666666666667</v>
      </c>
      <c r="O16" s="154">
        <f>J16/3</f>
        <v>1447.7666666666667</v>
      </c>
      <c r="P16" s="154">
        <v>0</v>
      </c>
      <c r="Q16" s="429">
        <f>J16*108%</f>
        <v>4690.7640000000001</v>
      </c>
      <c r="R16" s="429">
        <f>Q16*106.9%</f>
        <v>5014.4267159999999</v>
      </c>
      <c r="S16" s="287"/>
    </row>
    <row r="17" spans="1:19" s="6" customFormat="1" ht="57" customHeight="1">
      <c r="A17" s="435" t="s">
        <v>242</v>
      </c>
      <c r="B17" s="434" t="s">
        <v>240</v>
      </c>
      <c r="C17" s="433" t="s">
        <v>575</v>
      </c>
      <c r="D17" s="432"/>
      <c r="E17" s="432"/>
      <c r="F17" s="432"/>
      <c r="G17" s="432">
        <v>560</v>
      </c>
      <c r="H17" s="432">
        <v>17.8</v>
      </c>
      <c r="I17" s="432">
        <f>H17/8*12</f>
        <v>26.700000000000003</v>
      </c>
      <c r="J17" s="429">
        <v>5</v>
      </c>
      <c r="K17" s="466">
        <f t="shared" si="2"/>
        <v>5.29</v>
      </c>
      <c r="L17" s="465">
        <f t="shared" si="3"/>
        <v>5.5809499999999996</v>
      </c>
      <c r="M17" s="154">
        <f>J17/4</f>
        <v>1.25</v>
      </c>
      <c r="N17" s="154">
        <f>J17/4</f>
        <v>1.25</v>
      </c>
      <c r="O17" s="154">
        <f>J17/4</f>
        <v>1.25</v>
      </c>
      <c r="P17" s="154">
        <f>J17/4</f>
        <v>1.25</v>
      </c>
      <c r="Q17" s="429">
        <f>J17*108%</f>
        <v>5.4</v>
      </c>
      <c r="R17" s="429">
        <f>Q17*106.9%</f>
        <v>5.7725999999999997</v>
      </c>
      <c r="S17" s="287"/>
    </row>
    <row r="18" spans="1:19" s="6" customFormat="1" ht="45" customHeight="1">
      <c r="A18" s="435" t="s">
        <v>161</v>
      </c>
      <c r="B18" s="434" t="s">
        <v>245</v>
      </c>
      <c r="C18" s="433" t="s">
        <v>574</v>
      </c>
      <c r="D18" s="432">
        <f>D19+D20</f>
        <v>240</v>
      </c>
      <c r="E18" s="432">
        <f>E19+E20</f>
        <v>181.5</v>
      </c>
      <c r="F18" s="432">
        <f>E18/8*12</f>
        <v>272.25</v>
      </c>
      <c r="G18" s="432">
        <f>G19+G20</f>
        <v>200</v>
      </c>
      <c r="H18" s="432">
        <f>H19+H20</f>
        <v>223.2</v>
      </c>
      <c r="I18" s="432">
        <f>H18/8*12</f>
        <v>334.79999999999995</v>
      </c>
      <c r="J18" s="429">
        <f>J19</f>
        <v>582.4</v>
      </c>
      <c r="K18" s="466">
        <f t="shared" si="2"/>
        <v>616.17920000000004</v>
      </c>
      <c r="L18" s="465">
        <f t="shared" si="3"/>
        <v>650.06905600000005</v>
      </c>
      <c r="M18" s="154">
        <f t="shared" ref="M18:R18" si="5">M19</f>
        <v>194.13333333333333</v>
      </c>
      <c r="N18" s="154">
        <f t="shared" si="5"/>
        <v>194.13333333333333</v>
      </c>
      <c r="O18" s="154">
        <f t="shared" si="5"/>
        <v>194.13333333333333</v>
      </c>
      <c r="P18" s="154">
        <f t="shared" si="5"/>
        <v>0</v>
      </c>
      <c r="Q18" s="429">
        <f t="shared" si="5"/>
        <v>628.99199999999996</v>
      </c>
      <c r="R18" s="429">
        <f t="shared" si="5"/>
        <v>672.39244799999994</v>
      </c>
      <c r="S18" s="287"/>
    </row>
    <row r="19" spans="1:19" s="6" customFormat="1" ht="56.25" customHeight="1">
      <c r="A19" s="435" t="s">
        <v>177</v>
      </c>
      <c r="B19" s="434" t="s">
        <v>200</v>
      </c>
      <c r="C19" s="433" t="s">
        <v>574</v>
      </c>
      <c r="D19" s="432">
        <v>120</v>
      </c>
      <c r="E19" s="432">
        <v>130.5</v>
      </c>
      <c r="F19" s="432">
        <f>E19/8*12</f>
        <v>195.75</v>
      </c>
      <c r="G19" s="432">
        <v>200</v>
      </c>
      <c r="H19" s="432">
        <v>223.2</v>
      </c>
      <c r="I19" s="432">
        <f>H19/8*12</f>
        <v>334.79999999999995</v>
      </c>
      <c r="J19" s="429">
        <v>582.4</v>
      </c>
      <c r="K19" s="466">
        <f t="shared" si="2"/>
        <v>616.17920000000004</v>
      </c>
      <c r="L19" s="465">
        <f t="shared" si="3"/>
        <v>650.06905600000005</v>
      </c>
      <c r="M19" s="154">
        <f>J19/3</f>
        <v>194.13333333333333</v>
      </c>
      <c r="N19" s="154">
        <f>J19/3</f>
        <v>194.13333333333333</v>
      </c>
      <c r="O19" s="154">
        <f>J19/3</f>
        <v>194.13333333333333</v>
      </c>
      <c r="P19" s="154">
        <v>0</v>
      </c>
      <c r="Q19" s="429">
        <f>J19*108%</f>
        <v>628.99199999999996</v>
      </c>
      <c r="R19" s="429">
        <f>Q19*106.9%</f>
        <v>672.39244799999994</v>
      </c>
      <c r="S19" s="287"/>
    </row>
    <row r="20" spans="1:19" s="4" customFormat="1" ht="51.75" customHeight="1" thickBot="1">
      <c r="A20" s="435" t="s">
        <v>231</v>
      </c>
      <c r="B20" s="434" t="s">
        <v>387</v>
      </c>
      <c r="C20" s="433" t="s">
        <v>388</v>
      </c>
      <c r="D20" s="432">
        <v>120</v>
      </c>
      <c r="E20" s="432">
        <v>51</v>
      </c>
      <c r="F20" s="432">
        <f>E20/8*12</f>
        <v>76.5</v>
      </c>
      <c r="G20" s="157"/>
      <c r="H20" s="432"/>
      <c r="I20" s="432">
        <f>H20/8*12</f>
        <v>0</v>
      </c>
      <c r="J20" s="429">
        <f>307.8+700</f>
        <v>1007.8</v>
      </c>
      <c r="K20" s="466">
        <f t="shared" si="2"/>
        <v>1066.2524000000001</v>
      </c>
      <c r="L20" s="465">
        <f t="shared" si="3"/>
        <v>1124.8962819999999</v>
      </c>
      <c r="M20" s="158"/>
      <c r="N20" s="158"/>
      <c r="O20" s="158"/>
      <c r="P20" s="158"/>
      <c r="Q20" s="429">
        <f>J20*108%</f>
        <v>1088.424</v>
      </c>
      <c r="R20" s="429">
        <f>Q20*106.9%</f>
        <v>1163.5252559999999</v>
      </c>
      <c r="S20" s="286"/>
    </row>
    <row r="21" spans="1:19" s="6" customFormat="1" ht="75.75" customHeight="1" thickBot="1">
      <c r="A21" s="428" t="s">
        <v>4</v>
      </c>
      <c r="B21" s="452" t="s">
        <v>17</v>
      </c>
      <c r="C21" s="451" t="s">
        <v>145</v>
      </c>
      <c r="D21" s="436" t="e">
        <f>#REF!+#REF!+#REF!+#REF!+#REF!</f>
        <v>#REF!</v>
      </c>
      <c r="E21" s="436" t="e">
        <f>#REF!+#REF!+#REF!+#REF!+#REF!</f>
        <v>#REF!</v>
      </c>
      <c r="F21" s="436" t="e">
        <f>#REF!+#REF!+#REF!+#REF!+#REF!</f>
        <v>#REF!</v>
      </c>
      <c r="G21" s="436">
        <f t="shared" ref="G21:R21" si="6">G22+G26</f>
        <v>9275.4</v>
      </c>
      <c r="H21" s="436">
        <f t="shared" si="6"/>
        <v>6457.7</v>
      </c>
      <c r="I21" s="436">
        <f t="shared" si="6"/>
        <v>10024</v>
      </c>
      <c r="J21" s="425">
        <f t="shared" si="6"/>
        <v>11084.6</v>
      </c>
      <c r="K21" s="476">
        <f t="shared" si="6"/>
        <v>11727.506800000001</v>
      </c>
      <c r="L21" s="475">
        <f t="shared" si="6"/>
        <v>12372.519674000001</v>
      </c>
      <c r="M21" s="162">
        <f t="shared" si="6"/>
        <v>3693.8250000000003</v>
      </c>
      <c r="N21" s="162">
        <f t="shared" si="6"/>
        <v>3693.8250000000003</v>
      </c>
      <c r="O21" s="162">
        <f t="shared" si="6"/>
        <v>3693.8250000000003</v>
      </c>
      <c r="P21" s="162">
        <f t="shared" si="6"/>
        <v>3.125</v>
      </c>
      <c r="Q21" s="448">
        <f t="shared" si="6"/>
        <v>11971.368</v>
      </c>
      <c r="R21" s="448">
        <f t="shared" si="6"/>
        <v>12797.392392</v>
      </c>
      <c r="S21" s="287"/>
    </row>
    <row r="22" spans="1:19" s="6" customFormat="1" ht="84" customHeight="1">
      <c r="A22" s="435" t="s">
        <v>64</v>
      </c>
      <c r="B22" s="445" t="s">
        <v>159</v>
      </c>
      <c r="C22" s="433" t="s">
        <v>201</v>
      </c>
      <c r="D22" s="436"/>
      <c r="E22" s="436"/>
      <c r="F22" s="436"/>
      <c r="G22" s="432">
        <f t="shared" ref="G22:J24" si="7">G23</f>
        <v>9251.4</v>
      </c>
      <c r="H22" s="432">
        <f t="shared" si="7"/>
        <v>6445.7</v>
      </c>
      <c r="I22" s="432">
        <f t="shared" si="7"/>
        <v>10000</v>
      </c>
      <c r="J22" s="429">
        <f t="shared" si="7"/>
        <v>11072.1</v>
      </c>
      <c r="K22" s="466">
        <f>J22*1.058</f>
        <v>11714.281800000001</v>
      </c>
      <c r="L22" s="465">
        <f>K22*1.055</f>
        <v>12358.567299</v>
      </c>
      <c r="M22" s="154">
        <f t="shared" ref="M22:R24" si="8">M23</f>
        <v>3690.7000000000003</v>
      </c>
      <c r="N22" s="154">
        <f t="shared" si="8"/>
        <v>3690.7000000000003</v>
      </c>
      <c r="O22" s="154">
        <f t="shared" si="8"/>
        <v>3690.7000000000003</v>
      </c>
      <c r="P22" s="154">
        <f t="shared" si="8"/>
        <v>0</v>
      </c>
      <c r="Q22" s="429">
        <f t="shared" si="8"/>
        <v>11957.868</v>
      </c>
      <c r="R22" s="429">
        <f t="shared" si="8"/>
        <v>12782.960891999999</v>
      </c>
      <c r="S22" s="287"/>
    </row>
    <row r="23" spans="1:19" s="6" customFormat="1" ht="65.099999999999994" customHeight="1">
      <c r="A23" s="435" t="s">
        <v>65</v>
      </c>
      <c r="B23" s="445" t="s">
        <v>160</v>
      </c>
      <c r="C23" s="433" t="s">
        <v>146</v>
      </c>
      <c r="D23" s="432">
        <v>5500</v>
      </c>
      <c r="E23" s="432">
        <v>3350.4</v>
      </c>
      <c r="F23" s="432">
        <f>E23/8*12</f>
        <v>5025.6000000000004</v>
      </c>
      <c r="G23" s="432">
        <f t="shared" si="7"/>
        <v>9251.4</v>
      </c>
      <c r="H23" s="432">
        <f t="shared" si="7"/>
        <v>6445.7</v>
      </c>
      <c r="I23" s="432">
        <f t="shared" si="7"/>
        <v>10000</v>
      </c>
      <c r="J23" s="429">
        <f t="shared" si="7"/>
        <v>11072.1</v>
      </c>
      <c r="K23" s="466">
        <f>J23*1.058</f>
        <v>11714.281800000001</v>
      </c>
      <c r="L23" s="465">
        <f>K23*1.055</f>
        <v>12358.567299</v>
      </c>
      <c r="M23" s="154">
        <f t="shared" si="8"/>
        <v>3690.7000000000003</v>
      </c>
      <c r="N23" s="154">
        <f t="shared" si="8"/>
        <v>3690.7000000000003</v>
      </c>
      <c r="O23" s="154">
        <f t="shared" si="8"/>
        <v>3690.7000000000003</v>
      </c>
      <c r="P23" s="154">
        <f t="shared" si="8"/>
        <v>0</v>
      </c>
      <c r="Q23" s="429">
        <f t="shared" si="8"/>
        <v>11957.868</v>
      </c>
      <c r="R23" s="429">
        <f t="shared" si="8"/>
        <v>12782.960891999999</v>
      </c>
      <c r="S23" s="287"/>
    </row>
    <row r="24" spans="1:19" s="6" customFormat="1" ht="31.5" customHeight="1">
      <c r="A24" s="435" t="s">
        <v>168</v>
      </c>
      <c r="B24" s="445" t="s">
        <v>277</v>
      </c>
      <c r="C24" s="433" t="s">
        <v>573</v>
      </c>
      <c r="D24" s="436">
        <f t="shared" ref="D24:F25" si="9">D25</f>
        <v>3450</v>
      </c>
      <c r="E24" s="436">
        <f t="shared" si="9"/>
        <v>1791.7</v>
      </c>
      <c r="F24" s="436">
        <f t="shared" si="9"/>
        <v>2090</v>
      </c>
      <c r="G24" s="432">
        <f t="shared" si="7"/>
        <v>9251.4</v>
      </c>
      <c r="H24" s="432">
        <f t="shared" si="7"/>
        <v>6445.7</v>
      </c>
      <c r="I24" s="432">
        <f t="shared" si="7"/>
        <v>10000</v>
      </c>
      <c r="J24" s="429">
        <f t="shared" si="7"/>
        <v>11072.1</v>
      </c>
      <c r="K24" s="466">
        <f>J24*1.058</f>
        <v>11714.281800000001</v>
      </c>
      <c r="L24" s="465">
        <f>K24*1.055</f>
        <v>12358.567299</v>
      </c>
      <c r="M24" s="154">
        <f t="shared" si="8"/>
        <v>3690.7000000000003</v>
      </c>
      <c r="N24" s="154">
        <f t="shared" si="8"/>
        <v>3690.7000000000003</v>
      </c>
      <c r="O24" s="154">
        <f t="shared" si="8"/>
        <v>3690.7000000000003</v>
      </c>
      <c r="P24" s="154">
        <f t="shared" si="8"/>
        <v>0</v>
      </c>
      <c r="Q24" s="429">
        <f t="shared" si="8"/>
        <v>11957.868</v>
      </c>
      <c r="R24" s="429">
        <f t="shared" si="8"/>
        <v>12782.960891999999</v>
      </c>
      <c r="S24" s="287"/>
    </row>
    <row r="25" spans="1:19" s="6" customFormat="1" ht="65.099999999999994" customHeight="1">
      <c r="A25" s="435" t="s">
        <v>572</v>
      </c>
      <c r="B25" s="445" t="s">
        <v>233</v>
      </c>
      <c r="C25" s="433" t="s">
        <v>571</v>
      </c>
      <c r="D25" s="432">
        <f t="shared" si="9"/>
        <v>3450</v>
      </c>
      <c r="E25" s="432">
        <f t="shared" si="9"/>
        <v>1791.7</v>
      </c>
      <c r="F25" s="432">
        <f t="shared" si="9"/>
        <v>2090</v>
      </c>
      <c r="G25" s="432">
        <f>9214.3+37.1</f>
        <v>9251.4</v>
      </c>
      <c r="H25" s="432">
        <v>6445.7</v>
      </c>
      <c r="I25" s="432">
        <v>10000</v>
      </c>
      <c r="J25" s="429">
        <v>11072.1</v>
      </c>
      <c r="K25" s="466">
        <f>J25*1.058</f>
        <v>11714.281800000001</v>
      </c>
      <c r="L25" s="465">
        <f>K25*1.055</f>
        <v>12358.567299</v>
      </c>
      <c r="M25" s="154">
        <f>J25/3</f>
        <v>3690.7000000000003</v>
      </c>
      <c r="N25" s="154">
        <f>J25/3</f>
        <v>3690.7000000000003</v>
      </c>
      <c r="O25" s="154">
        <f>J25/3</f>
        <v>3690.7000000000003</v>
      </c>
      <c r="P25" s="154">
        <v>0</v>
      </c>
      <c r="Q25" s="429">
        <f>J25*108%</f>
        <v>11957.868</v>
      </c>
      <c r="R25" s="429">
        <f>Q25*106.9%</f>
        <v>12782.960891999999</v>
      </c>
      <c r="S25" s="287"/>
    </row>
    <row r="26" spans="1:19" s="6" customFormat="1" ht="31.5" customHeight="1">
      <c r="A26" s="435" t="s">
        <v>558</v>
      </c>
      <c r="B26" s="445" t="s">
        <v>280</v>
      </c>
      <c r="C26" s="433" t="s">
        <v>316</v>
      </c>
      <c r="D26" s="432">
        <f>D27</f>
        <v>3450</v>
      </c>
      <c r="E26" s="432">
        <f>E27</f>
        <v>1791.7</v>
      </c>
      <c r="F26" s="432">
        <v>2090</v>
      </c>
      <c r="G26" s="432">
        <f t="shared" ref="G26:R26" si="10">G27</f>
        <v>24</v>
      </c>
      <c r="H26" s="432">
        <f t="shared" si="10"/>
        <v>12</v>
      </c>
      <c r="I26" s="432">
        <f t="shared" si="10"/>
        <v>24</v>
      </c>
      <c r="J26" s="429">
        <f t="shared" si="10"/>
        <v>12.5</v>
      </c>
      <c r="K26" s="474">
        <f t="shared" si="10"/>
        <v>13.225000000000001</v>
      </c>
      <c r="L26" s="473">
        <f t="shared" si="10"/>
        <v>13.952375</v>
      </c>
      <c r="M26" s="154">
        <f t="shared" si="10"/>
        <v>3.125</v>
      </c>
      <c r="N26" s="154">
        <f t="shared" si="10"/>
        <v>3.125</v>
      </c>
      <c r="O26" s="154">
        <f t="shared" si="10"/>
        <v>3.125</v>
      </c>
      <c r="P26" s="154">
        <f t="shared" si="10"/>
        <v>3.125</v>
      </c>
      <c r="Q26" s="429">
        <f t="shared" si="10"/>
        <v>13.5</v>
      </c>
      <c r="R26" s="429">
        <f t="shared" si="10"/>
        <v>14.4315</v>
      </c>
      <c r="S26" s="287"/>
    </row>
    <row r="27" spans="1:19" s="6" customFormat="1" ht="75.75" customHeight="1">
      <c r="A27" s="435" t="s">
        <v>557</v>
      </c>
      <c r="B27" s="445" t="s">
        <v>282</v>
      </c>
      <c r="C27" s="433" t="s">
        <v>394</v>
      </c>
      <c r="D27" s="432">
        <v>3450</v>
      </c>
      <c r="E27" s="432">
        <v>1791.7</v>
      </c>
      <c r="F27" s="432">
        <v>2090</v>
      </c>
      <c r="G27" s="432">
        <v>24</v>
      </c>
      <c r="H27" s="432">
        <v>12</v>
      </c>
      <c r="I27" s="432">
        <v>24</v>
      </c>
      <c r="J27" s="429">
        <v>12.5</v>
      </c>
      <c r="K27" s="466">
        <f>J27*1.058</f>
        <v>13.225000000000001</v>
      </c>
      <c r="L27" s="465">
        <f>K27*1.055</f>
        <v>13.952375</v>
      </c>
      <c r="M27" s="154">
        <f>J27/4</f>
        <v>3.125</v>
      </c>
      <c r="N27" s="154">
        <f>J27/4</f>
        <v>3.125</v>
      </c>
      <c r="O27" s="154">
        <f>J27/4</f>
        <v>3.125</v>
      </c>
      <c r="P27" s="154">
        <f>J27/4</f>
        <v>3.125</v>
      </c>
      <c r="Q27" s="429">
        <f>J27*108%</f>
        <v>13.5</v>
      </c>
      <c r="R27" s="429">
        <f>Q27*106.9%</f>
        <v>14.4315</v>
      </c>
      <c r="S27" s="287"/>
    </row>
    <row r="28" spans="1:19" s="5" customFormat="1" ht="43.5" customHeight="1">
      <c r="A28" s="428" t="s">
        <v>570</v>
      </c>
      <c r="B28" s="452" t="s">
        <v>57</v>
      </c>
      <c r="C28" s="472" t="s">
        <v>378</v>
      </c>
      <c r="D28" s="432">
        <v>15</v>
      </c>
      <c r="E28" s="432">
        <v>0</v>
      </c>
      <c r="F28" s="432">
        <v>15</v>
      </c>
      <c r="G28" s="425">
        <f t="shared" ref="G28:L30" si="11">G29</f>
        <v>0</v>
      </c>
      <c r="H28" s="425">
        <f t="shared" si="11"/>
        <v>0</v>
      </c>
      <c r="I28" s="425">
        <f t="shared" si="11"/>
        <v>1402.9</v>
      </c>
      <c r="J28" s="425">
        <f t="shared" si="11"/>
        <v>1023.2</v>
      </c>
      <c r="K28" s="471">
        <f t="shared" si="11"/>
        <v>1082.5456000000001</v>
      </c>
      <c r="L28" s="471">
        <f t="shared" si="11"/>
        <v>1142.0856080000001</v>
      </c>
      <c r="M28" s="180"/>
      <c r="N28" s="180"/>
      <c r="O28" s="180"/>
      <c r="P28" s="180"/>
      <c r="Q28" s="471" t="e">
        <f>Q29+Q33</f>
        <v>#REF!</v>
      </c>
      <c r="R28" s="471" t="e">
        <f>R29+R33</f>
        <v>#REF!</v>
      </c>
      <c r="S28" s="288"/>
    </row>
    <row r="29" spans="1:19" s="5" customFormat="1" ht="31.5" customHeight="1">
      <c r="A29" s="435" t="s">
        <v>66</v>
      </c>
      <c r="B29" s="445" t="s">
        <v>379</v>
      </c>
      <c r="C29" s="470" t="s">
        <v>380</v>
      </c>
      <c r="D29" s="432" t="e">
        <f>D30+#REF!</f>
        <v>#REF!</v>
      </c>
      <c r="E29" s="432" t="e">
        <f>E30+#REF!</f>
        <v>#REF!</v>
      </c>
      <c r="F29" s="432" t="e">
        <f>F30+#REF!</f>
        <v>#REF!</v>
      </c>
      <c r="G29" s="429">
        <f t="shared" si="11"/>
        <v>0</v>
      </c>
      <c r="H29" s="429">
        <f t="shared" si="11"/>
        <v>0</v>
      </c>
      <c r="I29" s="429">
        <f t="shared" si="11"/>
        <v>1402.9</v>
      </c>
      <c r="J29" s="429">
        <f t="shared" si="11"/>
        <v>1023.2</v>
      </c>
      <c r="K29" s="448">
        <f t="shared" si="11"/>
        <v>1082.5456000000001</v>
      </c>
      <c r="L29" s="448">
        <f t="shared" si="11"/>
        <v>1142.0856080000001</v>
      </c>
      <c r="M29" s="180"/>
      <c r="N29" s="180"/>
      <c r="O29" s="180"/>
      <c r="P29" s="180"/>
      <c r="Q29" s="429">
        <f>Q30</f>
        <v>1105.056</v>
      </c>
      <c r="R29" s="429">
        <f>R30</f>
        <v>1181.304864</v>
      </c>
      <c r="S29" s="288"/>
    </row>
    <row r="30" spans="1:19" s="5" customFormat="1" ht="45" customHeight="1">
      <c r="A30" s="435" t="s">
        <v>67</v>
      </c>
      <c r="B30" s="445" t="s">
        <v>381</v>
      </c>
      <c r="C30" s="469" t="s">
        <v>569</v>
      </c>
      <c r="D30" s="436" t="e">
        <f>D31+#REF!+D38</f>
        <v>#REF!</v>
      </c>
      <c r="E30" s="436" t="e">
        <f>E31+#REF!+E38</f>
        <v>#REF!</v>
      </c>
      <c r="F30" s="436" t="e">
        <f>F31+#REF!+F38</f>
        <v>#REF!</v>
      </c>
      <c r="G30" s="429">
        <f t="shared" si="11"/>
        <v>0</v>
      </c>
      <c r="H30" s="429">
        <f t="shared" si="11"/>
        <v>0</v>
      </c>
      <c r="I30" s="429">
        <f t="shared" si="11"/>
        <v>1402.9</v>
      </c>
      <c r="J30" s="429">
        <f t="shared" si="11"/>
        <v>1023.2</v>
      </c>
      <c r="K30" s="429">
        <f t="shared" si="11"/>
        <v>1082.5456000000001</v>
      </c>
      <c r="L30" s="429">
        <f t="shared" si="11"/>
        <v>1142.0856080000001</v>
      </c>
      <c r="M30" s="180"/>
      <c r="N30" s="180"/>
      <c r="O30" s="180"/>
      <c r="P30" s="180"/>
      <c r="Q30" s="429">
        <f>Q31</f>
        <v>1105.056</v>
      </c>
      <c r="R30" s="429">
        <f>R31</f>
        <v>1181.304864</v>
      </c>
      <c r="S30" s="288"/>
    </row>
    <row r="31" spans="1:19" s="4" customFormat="1" ht="72" customHeight="1" thickBot="1">
      <c r="A31" s="435" t="s">
        <v>140</v>
      </c>
      <c r="B31" s="445" t="s">
        <v>568</v>
      </c>
      <c r="C31" s="469" t="s">
        <v>567</v>
      </c>
      <c r="D31" s="436" t="e">
        <f>#REF!</f>
        <v>#REF!</v>
      </c>
      <c r="E31" s="436" t="e">
        <f>#REF!</f>
        <v>#REF!</v>
      </c>
      <c r="F31" s="436" t="e">
        <f>#REF!</f>
        <v>#REF!</v>
      </c>
      <c r="G31" s="429">
        <v>0</v>
      </c>
      <c r="H31" s="429">
        <v>0</v>
      </c>
      <c r="I31" s="429">
        <v>1402.9</v>
      </c>
      <c r="J31" s="429">
        <v>1023.2</v>
      </c>
      <c r="K31" s="429">
        <f>J31*1.058</f>
        <v>1082.5456000000001</v>
      </c>
      <c r="L31" s="429">
        <f>K31*1.055</f>
        <v>1142.0856080000001</v>
      </c>
      <c r="M31" s="185"/>
      <c r="N31" s="185"/>
      <c r="O31" s="185"/>
      <c r="P31" s="185"/>
      <c r="Q31" s="429">
        <f>J31*108%</f>
        <v>1105.056</v>
      </c>
      <c r="R31" s="429">
        <f>Q31*106.9%</f>
        <v>1181.304864</v>
      </c>
      <c r="S31" s="286"/>
    </row>
    <row r="32" spans="1:19" s="5" customFormat="1" ht="33" customHeight="1" thickBot="1">
      <c r="A32" s="428" t="s">
        <v>283</v>
      </c>
      <c r="B32" s="452" t="s">
        <v>19</v>
      </c>
      <c r="C32" s="451" t="s">
        <v>18</v>
      </c>
      <c r="D32" s="432">
        <v>15</v>
      </c>
      <c r="E32" s="432">
        <v>0</v>
      </c>
      <c r="F32" s="432">
        <v>15</v>
      </c>
      <c r="G32" s="436" t="e">
        <f t="shared" ref="G32:R33" si="12">G33</f>
        <v>#REF!</v>
      </c>
      <c r="H32" s="436" t="e">
        <f t="shared" si="12"/>
        <v>#REF!</v>
      </c>
      <c r="I32" s="436" t="e">
        <f t="shared" si="12"/>
        <v>#REF!</v>
      </c>
      <c r="J32" s="425">
        <f t="shared" si="12"/>
        <v>136.19999999999999</v>
      </c>
      <c r="K32" s="450" t="e">
        <f t="shared" si="12"/>
        <v>#REF!</v>
      </c>
      <c r="L32" s="449" t="e">
        <f t="shared" si="12"/>
        <v>#REF!</v>
      </c>
      <c r="M32" s="146" t="e">
        <f t="shared" si="12"/>
        <v>#REF!</v>
      </c>
      <c r="N32" s="146" t="e">
        <f t="shared" si="12"/>
        <v>#REF!</v>
      </c>
      <c r="O32" s="146" t="e">
        <f t="shared" si="12"/>
        <v>#REF!</v>
      </c>
      <c r="P32" s="146" t="e">
        <f t="shared" si="12"/>
        <v>#REF!</v>
      </c>
      <c r="Q32" s="448" t="e">
        <f t="shared" si="12"/>
        <v>#REF!</v>
      </c>
      <c r="R32" s="448" t="e">
        <f t="shared" si="12"/>
        <v>#REF!</v>
      </c>
      <c r="S32" s="288"/>
    </row>
    <row r="33" spans="1:24" s="5" customFormat="1" ht="30" customHeight="1">
      <c r="A33" s="435" t="s">
        <v>68</v>
      </c>
      <c r="B33" s="445" t="s">
        <v>49</v>
      </c>
      <c r="C33" s="464" t="s">
        <v>54</v>
      </c>
      <c r="D33" s="436" t="e">
        <f>D34+#REF!</f>
        <v>#REF!</v>
      </c>
      <c r="E33" s="436" t="e">
        <f>E34+#REF!</f>
        <v>#REF!</v>
      </c>
      <c r="F33" s="436" t="e">
        <f>F34+#REF!</f>
        <v>#REF!</v>
      </c>
      <c r="G33" s="432" t="e">
        <f t="shared" si="12"/>
        <v>#REF!</v>
      </c>
      <c r="H33" s="432" t="e">
        <f t="shared" si="12"/>
        <v>#REF!</v>
      </c>
      <c r="I33" s="432" t="e">
        <f t="shared" si="12"/>
        <v>#REF!</v>
      </c>
      <c r="J33" s="429">
        <f t="shared" si="12"/>
        <v>136.19999999999999</v>
      </c>
      <c r="K33" s="468" t="e">
        <f t="shared" si="12"/>
        <v>#REF!</v>
      </c>
      <c r="L33" s="467" t="e">
        <f t="shared" si="12"/>
        <v>#REF!</v>
      </c>
      <c r="M33" s="154" t="e">
        <f t="shared" si="12"/>
        <v>#REF!</v>
      </c>
      <c r="N33" s="154" t="e">
        <f t="shared" si="12"/>
        <v>#REF!</v>
      </c>
      <c r="O33" s="154" t="e">
        <f t="shared" si="12"/>
        <v>#REF!</v>
      </c>
      <c r="P33" s="154" t="e">
        <f t="shared" si="12"/>
        <v>#REF!</v>
      </c>
      <c r="Q33" s="429" t="e">
        <f t="shared" si="12"/>
        <v>#REF!</v>
      </c>
      <c r="R33" s="429" t="e">
        <f t="shared" si="12"/>
        <v>#REF!</v>
      </c>
      <c r="S33" s="288"/>
    </row>
    <row r="34" spans="1:24" s="5" customFormat="1" ht="55.5" customHeight="1">
      <c r="A34" s="435" t="s">
        <v>69</v>
      </c>
      <c r="B34" s="445" t="s">
        <v>53</v>
      </c>
      <c r="C34" s="464" t="s">
        <v>389</v>
      </c>
      <c r="D34" s="436" t="e">
        <f>D35+D41+D39</f>
        <v>#REF!</v>
      </c>
      <c r="E34" s="436" t="e">
        <f>E35+E41+E39</f>
        <v>#REF!</v>
      </c>
      <c r="F34" s="436" t="e">
        <f>F35+F41+F39</f>
        <v>#REF!</v>
      </c>
      <c r="G34" s="432" t="e">
        <f>G35+#REF!</f>
        <v>#REF!</v>
      </c>
      <c r="H34" s="432" t="e">
        <f>H35+#REF!</f>
        <v>#REF!</v>
      </c>
      <c r="I34" s="432" t="e">
        <f>I35+#REF!</f>
        <v>#REF!</v>
      </c>
      <c r="J34" s="429">
        <f>J35</f>
        <v>136.19999999999999</v>
      </c>
      <c r="K34" s="441" t="e">
        <f>K35+#REF!</f>
        <v>#REF!</v>
      </c>
      <c r="L34" s="430" t="e">
        <f>L35+#REF!</f>
        <v>#REF!</v>
      </c>
      <c r="M34" s="154" t="e">
        <f>M35+#REF!</f>
        <v>#REF!</v>
      </c>
      <c r="N34" s="154" t="e">
        <f>N35+#REF!</f>
        <v>#REF!</v>
      </c>
      <c r="O34" s="154" t="e">
        <f>O35+#REF!</f>
        <v>#REF!</v>
      </c>
      <c r="P34" s="154" t="e">
        <f>P35+#REF!</f>
        <v>#REF!</v>
      </c>
      <c r="Q34" s="429" t="e">
        <f>Q35+#REF!</f>
        <v>#REF!</v>
      </c>
      <c r="R34" s="429" t="e">
        <f>R35+#REF!</f>
        <v>#REF!</v>
      </c>
      <c r="S34" s="288"/>
      <c r="X34" s="281"/>
    </row>
    <row r="35" spans="1:24" s="4" customFormat="1" ht="70.5" customHeight="1">
      <c r="A35" s="435" t="s">
        <v>70</v>
      </c>
      <c r="B35" s="434" t="s">
        <v>162</v>
      </c>
      <c r="C35" s="464" t="s">
        <v>563</v>
      </c>
      <c r="D35" s="436">
        <f>D38</f>
        <v>5841.7</v>
      </c>
      <c r="E35" s="436">
        <f>E38</f>
        <v>4377.6000000000004</v>
      </c>
      <c r="F35" s="436">
        <f>F38</f>
        <v>5841.7</v>
      </c>
      <c r="G35" s="432">
        <v>20</v>
      </c>
      <c r="H35" s="432">
        <v>19.8</v>
      </c>
      <c r="I35" s="432">
        <v>30</v>
      </c>
      <c r="J35" s="429">
        <f>SUM(J36:J37)</f>
        <v>136.19999999999999</v>
      </c>
      <c r="K35" s="466">
        <f>J35*1.058</f>
        <v>144.09959999999998</v>
      </c>
      <c r="L35" s="465">
        <f>K35*1.055</f>
        <v>152.02507799999998</v>
      </c>
      <c r="M35" s="154">
        <f>J35/4</f>
        <v>34.049999999999997</v>
      </c>
      <c r="N35" s="154">
        <f>J35/4</f>
        <v>34.049999999999997</v>
      </c>
      <c r="O35" s="154">
        <f>J35/4</f>
        <v>34.049999999999997</v>
      </c>
      <c r="P35" s="154">
        <f>J35/4</f>
        <v>34.049999999999997</v>
      </c>
      <c r="Q35" s="429">
        <f>J35*108%</f>
        <v>147.096</v>
      </c>
      <c r="R35" s="429">
        <f>Q35*106.9%</f>
        <v>157.24562399999999</v>
      </c>
      <c r="S35" s="286"/>
    </row>
    <row r="36" spans="1:24" s="6" customFormat="1" ht="78" customHeight="1">
      <c r="A36" s="435" t="s">
        <v>566</v>
      </c>
      <c r="B36" s="434" t="s">
        <v>565</v>
      </c>
      <c r="C36" s="464" t="s">
        <v>563</v>
      </c>
      <c r="D36" s="436"/>
      <c r="E36" s="436"/>
      <c r="F36" s="436"/>
      <c r="G36" s="432"/>
      <c r="H36" s="432"/>
      <c r="I36" s="432"/>
      <c r="J36" s="429">
        <v>120.5</v>
      </c>
      <c r="K36" s="463"/>
      <c r="L36" s="463"/>
      <c r="M36" s="432"/>
      <c r="N36" s="432"/>
      <c r="O36" s="432"/>
      <c r="P36" s="432"/>
      <c r="Q36" s="429"/>
      <c r="R36" s="429"/>
      <c r="S36" s="287"/>
    </row>
    <row r="37" spans="1:24" s="6" customFormat="1" ht="83.25" customHeight="1" thickBot="1">
      <c r="A37" s="435" t="s">
        <v>542</v>
      </c>
      <c r="B37" s="434" t="s">
        <v>564</v>
      </c>
      <c r="C37" s="464" t="s">
        <v>563</v>
      </c>
      <c r="D37" s="436"/>
      <c r="E37" s="436"/>
      <c r="F37" s="436"/>
      <c r="G37" s="432"/>
      <c r="H37" s="432"/>
      <c r="I37" s="432"/>
      <c r="J37" s="429">
        <v>15.7</v>
      </c>
      <c r="K37" s="463"/>
      <c r="L37" s="463"/>
      <c r="M37" s="432"/>
      <c r="N37" s="432"/>
      <c r="O37" s="432"/>
      <c r="P37" s="432"/>
      <c r="Q37" s="429"/>
      <c r="R37" s="429"/>
      <c r="S37" s="287"/>
    </row>
    <row r="38" spans="1:24" s="6" customFormat="1" ht="36.75" customHeight="1" thickBot="1">
      <c r="A38" s="428" t="s">
        <v>47</v>
      </c>
      <c r="B38" s="452" t="s">
        <v>20</v>
      </c>
      <c r="C38" s="462" t="s">
        <v>163</v>
      </c>
      <c r="D38" s="432">
        <v>5841.7</v>
      </c>
      <c r="E38" s="432">
        <v>4377.6000000000004</v>
      </c>
      <c r="F38" s="432">
        <v>5841.7</v>
      </c>
      <c r="G38" s="436" t="e">
        <f t="shared" ref="G38:R38" si="13">G39</f>
        <v>#REF!</v>
      </c>
      <c r="H38" s="436" t="e">
        <f t="shared" si="13"/>
        <v>#REF!</v>
      </c>
      <c r="I38" s="436" t="e">
        <f t="shared" si="13"/>
        <v>#REF!</v>
      </c>
      <c r="J38" s="425">
        <f t="shared" si="13"/>
        <v>67480.899999999994</v>
      </c>
      <c r="K38" s="461" t="e">
        <f t="shared" si="13"/>
        <v>#REF!</v>
      </c>
      <c r="L38" s="460" t="e">
        <f t="shared" si="13"/>
        <v>#REF!</v>
      </c>
      <c r="M38" s="138" t="e">
        <f t="shared" si="13"/>
        <v>#REF!</v>
      </c>
      <c r="N38" s="138" t="e">
        <f t="shared" si="13"/>
        <v>#REF!</v>
      </c>
      <c r="O38" s="138" t="e">
        <f t="shared" si="13"/>
        <v>#REF!</v>
      </c>
      <c r="P38" s="138" t="e">
        <f t="shared" si="13"/>
        <v>#REF!</v>
      </c>
      <c r="Q38" s="459" t="e">
        <f t="shared" si="13"/>
        <v>#REF!</v>
      </c>
      <c r="R38" s="459" t="e">
        <f t="shared" si="13"/>
        <v>#REF!</v>
      </c>
      <c r="S38" s="287"/>
    </row>
    <row r="39" spans="1:24" s="6" customFormat="1" ht="63" customHeight="1" thickBot="1">
      <c r="A39" s="428">
        <v>1</v>
      </c>
      <c r="B39" s="452" t="s">
        <v>608</v>
      </c>
      <c r="C39" s="451" t="s">
        <v>317</v>
      </c>
      <c r="D39" s="436">
        <v>0</v>
      </c>
      <c r="E39" s="436">
        <v>0</v>
      </c>
      <c r="F39" s="436">
        <v>0</v>
      </c>
      <c r="G39" s="436" t="e">
        <f>G40+G43+#REF!</f>
        <v>#REF!</v>
      </c>
      <c r="H39" s="436" t="e">
        <f>H40+H43+#REF!</f>
        <v>#REF!</v>
      </c>
      <c r="I39" s="436" t="e">
        <f>I40+I43+#REF!</f>
        <v>#REF!</v>
      </c>
      <c r="J39" s="425">
        <f>J40+J43</f>
        <v>67480.899999999994</v>
      </c>
      <c r="K39" s="458" t="e">
        <f>K40+K43+#REF!</f>
        <v>#REF!</v>
      </c>
      <c r="L39" s="457" t="e">
        <f>L40+L43+#REF!</f>
        <v>#REF!</v>
      </c>
      <c r="M39" s="146" t="e">
        <f>M40+M43+#REF!</f>
        <v>#REF!</v>
      </c>
      <c r="N39" s="146" t="e">
        <f>N40+N43+#REF!</f>
        <v>#REF!</v>
      </c>
      <c r="O39" s="146" t="e">
        <f>O40+O43+#REF!</f>
        <v>#REF!</v>
      </c>
      <c r="P39" s="146" t="e">
        <f>P40+P43+#REF!</f>
        <v>#REF!</v>
      </c>
      <c r="Q39" s="448" t="e">
        <f>Q40+Q43+#REF!</f>
        <v>#REF!</v>
      </c>
      <c r="R39" s="448" t="e">
        <f>R40+R43+#REF!</f>
        <v>#REF!</v>
      </c>
      <c r="S39" s="287"/>
    </row>
    <row r="40" spans="1:24" s="5" customFormat="1" ht="56.25" customHeight="1">
      <c r="A40" s="435" t="s">
        <v>62</v>
      </c>
      <c r="B40" s="434" t="s">
        <v>609</v>
      </c>
      <c r="C40" s="433" t="s">
        <v>562</v>
      </c>
      <c r="D40" s="432" t="e">
        <f>#REF!</f>
        <v>#REF!</v>
      </c>
      <c r="E40" s="432" t="e">
        <f>#REF!</f>
        <v>#REF!</v>
      </c>
      <c r="F40" s="432" t="e">
        <f>#REF!</f>
        <v>#REF!</v>
      </c>
      <c r="G40" s="432">
        <f>G41</f>
        <v>8472</v>
      </c>
      <c r="H40" s="432">
        <f>H41</f>
        <v>5648</v>
      </c>
      <c r="I40" s="432">
        <f>H40/8*12</f>
        <v>8472</v>
      </c>
      <c r="J40" s="429">
        <f>J41+J42</f>
        <v>65600.399999999994</v>
      </c>
      <c r="K40" s="456">
        <f t="shared" ref="K40:R40" si="14">K41</f>
        <v>58000</v>
      </c>
      <c r="L40" s="455">
        <f t="shared" si="14"/>
        <v>58000</v>
      </c>
      <c r="M40" s="154">
        <f t="shared" si="14"/>
        <v>16359.25</v>
      </c>
      <c r="N40" s="154">
        <f t="shared" si="14"/>
        <v>16359.25</v>
      </c>
      <c r="O40" s="154">
        <f t="shared" si="14"/>
        <v>16359.25</v>
      </c>
      <c r="P40" s="154">
        <f t="shared" si="14"/>
        <v>16359.25</v>
      </c>
      <c r="Q40" s="429">
        <f t="shared" si="14"/>
        <v>70671.960000000006</v>
      </c>
      <c r="R40" s="429">
        <f t="shared" si="14"/>
        <v>75548.325240000006</v>
      </c>
      <c r="S40" s="288"/>
    </row>
    <row r="41" spans="1:24" s="5" customFormat="1" ht="50.25" customHeight="1">
      <c r="A41" s="435" t="s">
        <v>45</v>
      </c>
      <c r="B41" s="434" t="s">
        <v>610</v>
      </c>
      <c r="C41" s="433" t="s">
        <v>605</v>
      </c>
      <c r="D41" s="432" t="e">
        <f>#REF!+D44</f>
        <v>#REF!</v>
      </c>
      <c r="E41" s="432" t="e">
        <f>#REF!+E44</f>
        <v>#REF!</v>
      </c>
      <c r="F41" s="432" t="e">
        <f>#REF!+F44</f>
        <v>#REF!</v>
      </c>
      <c r="G41" s="432">
        <v>8472</v>
      </c>
      <c r="H41" s="432">
        <v>5648</v>
      </c>
      <c r="I41" s="432">
        <f>H41/8*12</f>
        <v>8472</v>
      </c>
      <c r="J41" s="429">
        <v>65437</v>
      </c>
      <c r="K41" s="454">
        <v>58000</v>
      </c>
      <c r="L41" s="453">
        <v>58000</v>
      </c>
      <c r="M41" s="154">
        <f>J41/4</f>
        <v>16359.25</v>
      </c>
      <c r="N41" s="154">
        <f>J41/4</f>
        <v>16359.25</v>
      </c>
      <c r="O41" s="154">
        <f>J41/4</f>
        <v>16359.25</v>
      </c>
      <c r="P41" s="154">
        <f>J41/4</f>
        <v>16359.25</v>
      </c>
      <c r="Q41" s="429">
        <f>J41*108%</f>
        <v>70671.960000000006</v>
      </c>
      <c r="R41" s="429">
        <f>Q41*106.9%</f>
        <v>75548.325240000006</v>
      </c>
      <c r="S41" s="288"/>
      <c r="T41" s="288" t="e">
        <f>#REF!*0.278</f>
        <v>#REF!</v>
      </c>
    </row>
    <row r="42" spans="1:24" s="5" customFormat="1" ht="71.25" customHeight="1" thickBot="1">
      <c r="A42" s="435" t="s">
        <v>63</v>
      </c>
      <c r="B42" s="434" t="s">
        <v>626</v>
      </c>
      <c r="C42" s="433" t="s">
        <v>625</v>
      </c>
      <c r="D42" s="432"/>
      <c r="E42" s="432"/>
      <c r="F42" s="432"/>
      <c r="G42" s="432"/>
      <c r="H42" s="432"/>
      <c r="I42" s="432"/>
      <c r="J42" s="429">
        <v>163.4</v>
      </c>
      <c r="K42" s="545"/>
      <c r="L42" s="546"/>
      <c r="M42" s="154"/>
      <c r="N42" s="154"/>
      <c r="O42" s="154"/>
      <c r="P42" s="154"/>
      <c r="Q42" s="429"/>
      <c r="R42" s="429"/>
      <c r="S42" s="288"/>
      <c r="T42" s="288"/>
    </row>
    <row r="43" spans="1:24" ht="65.099999999999994" customHeight="1" thickBot="1">
      <c r="A43" s="428">
        <v>2</v>
      </c>
      <c r="B43" s="452" t="s">
        <v>606</v>
      </c>
      <c r="C43" s="451" t="s">
        <v>561</v>
      </c>
      <c r="D43" s="432">
        <v>12.7</v>
      </c>
      <c r="E43" s="432">
        <v>0</v>
      </c>
      <c r="F43" s="432">
        <v>12.7</v>
      </c>
      <c r="G43" s="436" t="e">
        <f t="shared" ref="G43:R43" si="15">G44+G48</f>
        <v>#REF!</v>
      </c>
      <c r="H43" s="436" t="e">
        <f t="shared" si="15"/>
        <v>#REF!</v>
      </c>
      <c r="I43" s="436" t="e">
        <f t="shared" si="15"/>
        <v>#REF!</v>
      </c>
      <c r="J43" s="425">
        <f>J44+J48</f>
        <v>1880.5</v>
      </c>
      <c r="K43" s="450" t="e">
        <f t="shared" si="15"/>
        <v>#REF!</v>
      </c>
      <c r="L43" s="449" t="e">
        <f t="shared" si="15"/>
        <v>#REF!</v>
      </c>
      <c r="M43" s="146" t="e">
        <f t="shared" si="15"/>
        <v>#REF!</v>
      </c>
      <c r="N43" s="146" t="e">
        <f t="shared" si="15"/>
        <v>#REF!</v>
      </c>
      <c r="O43" s="146" t="e">
        <f t="shared" si="15"/>
        <v>#REF!</v>
      </c>
      <c r="P43" s="146" t="e">
        <f t="shared" si="15"/>
        <v>#REF!</v>
      </c>
      <c r="Q43" s="448" t="e">
        <f t="shared" si="15"/>
        <v>#REF!</v>
      </c>
      <c r="R43" s="448" t="e">
        <f t="shared" si="15"/>
        <v>#REF!</v>
      </c>
    </row>
    <row r="44" spans="1:24" ht="68.25" customHeight="1">
      <c r="A44" s="435" t="s">
        <v>64</v>
      </c>
      <c r="B44" s="445" t="s">
        <v>607</v>
      </c>
      <c r="C44" s="433" t="s">
        <v>86</v>
      </c>
      <c r="D44" s="436">
        <f>D46</f>
        <v>228.1</v>
      </c>
      <c r="E44" s="436">
        <f>E46</f>
        <v>114.1</v>
      </c>
      <c r="F44" s="436">
        <f>F46</f>
        <v>228.1</v>
      </c>
      <c r="G44" s="432">
        <f>G45</f>
        <v>662.2</v>
      </c>
      <c r="H44" s="432">
        <f>H45</f>
        <v>485.4</v>
      </c>
      <c r="I44" s="432">
        <f>H44/8*12</f>
        <v>728.09999999999991</v>
      </c>
      <c r="J44" s="429">
        <f>J46+J47</f>
        <v>840.40000000000009</v>
      </c>
      <c r="K44" s="447">
        <f t="shared" ref="K44:P44" si="16">K45</f>
        <v>740.1</v>
      </c>
      <c r="L44" s="446">
        <f t="shared" si="16"/>
        <v>780.8</v>
      </c>
      <c r="M44" s="154">
        <f t="shared" si="16"/>
        <v>210.10000000000002</v>
      </c>
      <c r="N44" s="154">
        <f t="shared" si="16"/>
        <v>210.10000000000002</v>
      </c>
      <c r="O44" s="154">
        <f t="shared" si="16"/>
        <v>210.10000000000002</v>
      </c>
      <c r="P44" s="154">
        <f t="shared" si="16"/>
        <v>210.10000000000002</v>
      </c>
      <c r="Q44" s="442">
        <f>Q46+Q47</f>
        <v>907.63200000000006</v>
      </c>
      <c r="R44" s="442">
        <f>R46+R47</f>
        <v>970.25860800000009</v>
      </c>
    </row>
    <row r="45" spans="1:24" ht="93" customHeight="1">
      <c r="A45" s="435" t="s">
        <v>65</v>
      </c>
      <c r="B45" s="445" t="s">
        <v>611</v>
      </c>
      <c r="C45" s="433" t="s">
        <v>560</v>
      </c>
      <c r="D45" s="432">
        <v>228.1</v>
      </c>
      <c r="E45" s="432">
        <v>114.1</v>
      </c>
      <c r="F45" s="432">
        <v>228.1</v>
      </c>
      <c r="G45" s="432">
        <f t="shared" ref="G45:L45" si="17">G46+G47</f>
        <v>662.2</v>
      </c>
      <c r="H45" s="432">
        <f t="shared" si="17"/>
        <v>485.4</v>
      </c>
      <c r="I45" s="432">
        <f t="shared" si="17"/>
        <v>662.2</v>
      </c>
      <c r="J45" s="429">
        <f t="shared" si="17"/>
        <v>840.40000000000009</v>
      </c>
      <c r="K45" s="444">
        <f t="shared" si="17"/>
        <v>740.1</v>
      </c>
      <c r="L45" s="443">
        <f t="shared" si="17"/>
        <v>780.8</v>
      </c>
      <c r="M45" s="154">
        <f>J45/4</f>
        <v>210.10000000000002</v>
      </c>
      <c r="N45" s="154">
        <f>J45/4</f>
        <v>210.10000000000002</v>
      </c>
      <c r="O45" s="154">
        <f>J45/4</f>
        <v>210.10000000000002</v>
      </c>
      <c r="P45" s="154">
        <f>J45/4</f>
        <v>210.10000000000002</v>
      </c>
      <c r="Q45" s="442">
        <f>Q46</f>
        <v>899.85600000000011</v>
      </c>
      <c r="R45" s="442">
        <f>R46</f>
        <v>961.94606400000009</v>
      </c>
    </row>
    <row r="46" spans="1:24" ht="63.75">
      <c r="A46" s="435" t="s">
        <v>168</v>
      </c>
      <c r="B46" s="434" t="s">
        <v>612</v>
      </c>
      <c r="C46" s="216" t="s">
        <v>285</v>
      </c>
      <c r="D46" s="432">
        <v>228.1</v>
      </c>
      <c r="E46" s="432">
        <v>114.1</v>
      </c>
      <c r="F46" s="432">
        <v>228.1</v>
      </c>
      <c r="G46" s="432">
        <v>657.2</v>
      </c>
      <c r="H46" s="432">
        <v>485.4</v>
      </c>
      <c r="I46" s="432">
        <v>657.2</v>
      </c>
      <c r="J46" s="429">
        <v>833.2</v>
      </c>
      <c r="K46" s="441">
        <v>740.1</v>
      </c>
      <c r="L46" s="430">
        <v>780.8</v>
      </c>
      <c r="M46" s="154">
        <f>J46/4</f>
        <v>208.3</v>
      </c>
      <c r="N46" s="154">
        <f>J46/4</f>
        <v>208.3</v>
      </c>
      <c r="O46" s="154">
        <f>J46/4</f>
        <v>208.3</v>
      </c>
      <c r="P46" s="154">
        <f>J46/4</f>
        <v>208.3</v>
      </c>
      <c r="Q46" s="429">
        <f>J46*108%</f>
        <v>899.85600000000011</v>
      </c>
      <c r="R46" s="429">
        <f>Q46*106.9%</f>
        <v>961.94606400000009</v>
      </c>
    </row>
    <row r="47" spans="1:24" ht="90" thickBot="1">
      <c r="A47" s="435" t="s">
        <v>559</v>
      </c>
      <c r="B47" s="434" t="s">
        <v>613</v>
      </c>
      <c r="C47" s="216" t="s">
        <v>287</v>
      </c>
      <c r="D47" s="432">
        <v>228.1</v>
      </c>
      <c r="E47" s="432">
        <v>114.1</v>
      </c>
      <c r="F47" s="432">
        <v>228.1</v>
      </c>
      <c r="G47" s="432">
        <v>5</v>
      </c>
      <c r="H47" s="432"/>
      <c r="I47" s="432">
        <v>5</v>
      </c>
      <c r="J47" s="429">
        <v>7.2</v>
      </c>
      <c r="K47" s="440"/>
      <c r="L47" s="439"/>
      <c r="M47" s="154">
        <f>J47/4</f>
        <v>1.8</v>
      </c>
      <c r="N47" s="154">
        <f>J47/4</f>
        <v>1.8</v>
      </c>
      <c r="O47" s="154">
        <f>J47/4</f>
        <v>1.8</v>
      </c>
      <c r="P47" s="154">
        <f>J47/4</f>
        <v>1.8</v>
      </c>
      <c r="Q47" s="429">
        <f>J47*108%</f>
        <v>7.7760000000000007</v>
      </c>
      <c r="R47" s="429">
        <f>Q47*106.9%</f>
        <v>8.3125440000000008</v>
      </c>
    </row>
    <row r="48" spans="1:24" ht="44.25" customHeight="1" thickBot="1">
      <c r="A48" s="435" t="s">
        <v>558</v>
      </c>
      <c r="B48" s="434" t="s">
        <v>614</v>
      </c>
      <c r="C48" s="216" t="s">
        <v>288</v>
      </c>
      <c r="D48" s="429" t="e">
        <f>D11+D33</f>
        <v>#REF!</v>
      </c>
      <c r="E48" s="429" t="e">
        <f>E11+E33</f>
        <v>#REF!</v>
      </c>
      <c r="F48" s="429" t="e">
        <f>F11+F33</f>
        <v>#REF!</v>
      </c>
      <c r="G48" s="432" t="e">
        <f>G49+#REF!</f>
        <v>#REF!</v>
      </c>
      <c r="H48" s="432" t="e">
        <f>H49+#REF!</f>
        <v>#REF!</v>
      </c>
      <c r="I48" s="432" t="e">
        <f>I49+#REF!</f>
        <v>#REF!</v>
      </c>
      <c r="J48" s="429">
        <f>J49</f>
        <v>1040.0999999999999</v>
      </c>
      <c r="K48" s="438" t="e">
        <f>K49+#REF!</f>
        <v>#REF!</v>
      </c>
      <c r="L48" s="437" t="e">
        <f>L49+#REF!</f>
        <v>#REF!</v>
      </c>
      <c r="M48" s="154" t="e">
        <f>M49+#REF!</f>
        <v>#REF!</v>
      </c>
      <c r="N48" s="154" t="e">
        <f>N49+#REF!</f>
        <v>#REF!</v>
      </c>
      <c r="O48" s="154" t="e">
        <f>O49+#REF!</f>
        <v>#REF!</v>
      </c>
      <c r="P48" s="154" t="e">
        <f>P49+#REF!</f>
        <v>#REF!</v>
      </c>
      <c r="Q48" s="429" t="e">
        <f>Q49+#REF!</f>
        <v>#REF!</v>
      </c>
      <c r="R48" s="429" t="e">
        <f>R49+#REF!</f>
        <v>#REF!</v>
      </c>
    </row>
    <row r="49" spans="1:19" ht="44.25" customHeight="1" thickBot="1">
      <c r="A49" s="435" t="s">
        <v>557</v>
      </c>
      <c r="B49" s="434" t="s">
        <v>615</v>
      </c>
      <c r="C49" s="433" t="s">
        <v>289</v>
      </c>
      <c r="D49" s="436" t="e">
        <f>D48-#REF!</f>
        <v>#REF!</v>
      </c>
      <c r="E49" s="436" t="e">
        <f>E48-#REF!</f>
        <v>#REF!</v>
      </c>
      <c r="F49" s="436" t="e">
        <f>F48-#REF!</f>
        <v>#REF!</v>
      </c>
      <c r="G49" s="432">
        <v>602.4</v>
      </c>
      <c r="H49" s="432">
        <v>258</v>
      </c>
      <c r="I49" s="432">
        <f>H49/8*12</f>
        <v>387</v>
      </c>
      <c r="J49" s="429">
        <v>1040.0999999999999</v>
      </c>
      <c r="K49" s="431">
        <v>1155.3</v>
      </c>
      <c r="L49" s="430">
        <v>1218.8</v>
      </c>
      <c r="M49" s="154">
        <f>J49/4</f>
        <v>260.02499999999998</v>
      </c>
      <c r="N49" s="154">
        <f>J49/4</f>
        <v>260.02499999999998</v>
      </c>
      <c r="O49" s="154">
        <f>J49/4</f>
        <v>260.02499999999998</v>
      </c>
      <c r="P49" s="154">
        <f>J49/4</f>
        <v>260.02499999999998</v>
      </c>
      <c r="Q49" s="429">
        <f>J49*108%</f>
        <v>1123.308</v>
      </c>
      <c r="R49" s="429">
        <f>Q49*106.9%</f>
        <v>1200.8162519999998</v>
      </c>
      <c r="S49" s="2"/>
    </row>
    <row r="50" spans="1:19" ht="19.5" thickBot="1">
      <c r="A50" s="612" t="s">
        <v>9</v>
      </c>
      <c r="B50" s="613"/>
      <c r="C50" s="614"/>
      <c r="D50" s="425" t="e">
        <f>D48-D33</f>
        <v>#REF!</v>
      </c>
      <c r="E50" s="425" t="e">
        <f>E48-E33</f>
        <v>#REF!</v>
      </c>
      <c r="F50" s="425" t="e">
        <f>F48-F33</f>
        <v>#REF!</v>
      </c>
      <c r="G50" s="425" t="e">
        <f t="shared" ref="G50:R50" si="18">G11+G38</f>
        <v>#REF!</v>
      </c>
      <c r="H50" s="425" t="e">
        <f t="shared" si="18"/>
        <v>#REF!</v>
      </c>
      <c r="I50" s="425" t="e">
        <f t="shared" si="18"/>
        <v>#REF!</v>
      </c>
      <c r="J50" s="425">
        <f t="shared" si="18"/>
        <v>113689.29999999999</v>
      </c>
      <c r="K50" s="427" t="e">
        <f t="shared" si="18"/>
        <v>#REF!</v>
      </c>
      <c r="L50" s="426" t="e">
        <f t="shared" si="18"/>
        <v>#REF!</v>
      </c>
      <c r="M50" s="158" t="e">
        <f t="shared" si="18"/>
        <v>#REF!</v>
      </c>
      <c r="N50" s="158" t="e">
        <f t="shared" si="18"/>
        <v>#REF!</v>
      </c>
      <c r="O50" s="158" t="e">
        <f t="shared" si="18"/>
        <v>#REF!</v>
      </c>
      <c r="P50" s="158" t="e">
        <f t="shared" si="18"/>
        <v>#REF!</v>
      </c>
      <c r="Q50" s="425" t="e">
        <f t="shared" si="18"/>
        <v>#REF!</v>
      </c>
      <c r="R50" s="425" t="e">
        <f t="shared" si="18"/>
        <v>#REF!</v>
      </c>
      <c r="S50" s="2"/>
    </row>
    <row r="54" spans="1:19">
      <c r="P54" s="119"/>
      <c r="S54" s="2"/>
    </row>
  </sheetData>
  <mergeCells count="9">
    <mergeCell ref="A50:C50"/>
    <mergeCell ref="A8:P8"/>
    <mergeCell ref="O9:P9"/>
    <mergeCell ref="C1:P1"/>
    <mergeCell ref="C3:J3"/>
    <mergeCell ref="C4:J4"/>
    <mergeCell ref="C5:P5"/>
    <mergeCell ref="C6:R6"/>
    <mergeCell ref="A7:P7"/>
  </mergeCells>
  <pageMargins left="0.59055118110236227" right="0.39370078740157483" top="0.39370078740157483" bottom="0.39370078740157483" header="0" footer="0"/>
  <pageSetup paperSize="9" scale="81" fitToHeight="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workbookViewId="0">
      <selection activeCell="J13" sqref="J13"/>
    </sheetView>
  </sheetViews>
  <sheetFormatPr defaultRowHeight="12.75"/>
  <cols>
    <col min="1" max="1" width="48.85546875" style="8" customWidth="1"/>
    <col min="2" max="2" width="16.5703125" style="9" customWidth="1"/>
    <col min="3" max="3" width="0.140625" style="9" hidden="1" customWidth="1"/>
    <col min="4" max="4" width="8.140625" style="10" hidden="1" customWidth="1"/>
    <col min="5" max="5" width="8" style="115" hidden="1" customWidth="1"/>
    <col min="6" max="6" width="5.140625" style="115" hidden="1" customWidth="1"/>
    <col min="7" max="7" width="11.7109375" style="115" hidden="1" customWidth="1"/>
    <col min="8" max="8" width="11" style="115" hidden="1" customWidth="1"/>
    <col min="9" max="9" width="12.5703125" style="115" hidden="1" customWidth="1"/>
    <col min="10" max="10" width="17" style="115" customWidth="1"/>
    <col min="11" max="14" width="0" style="115" hidden="1" customWidth="1"/>
    <col min="15" max="16384" width="9.140625" style="115"/>
  </cols>
  <sheetData>
    <row r="1" spans="1:23" ht="15.75">
      <c r="A1" s="280"/>
      <c r="B1" s="360"/>
      <c r="C1" s="232"/>
      <c r="D1" s="233"/>
      <c r="E1" s="117"/>
      <c r="F1" s="117"/>
      <c r="G1" s="117"/>
      <c r="H1" s="117"/>
      <c r="I1" s="117"/>
      <c r="J1" s="234" t="s">
        <v>181</v>
      </c>
    </row>
    <row r="2" spans="1:23" ht="15.75">
      <c r="A2" s="117"/>
      <c r="B2" s="117"/>
      <c r="C2" s="117"/>
      <c r="D2" s="117"/>
      <c r="E2" s="117"/>
      <c r="F2" s="117"/>
      <c r="G2" s="117"/>
      <c r="H2" s="123"/>
      <c r="I2" s="123"/>
      <c r="J2" s="384" t="s">
        <v>544</v>
      </c>
      <c r="K2" s="383"/>
      <c r="L2" s="383"/>
      <c r="M2" s="383"/>
      <c r="N2" s="383"/>
      <c r="O2" s="383"/>
      <c r="P2" s="383"/>
      <c r="R2" s="383"/>
      <c r="S2" s="383"/>
      <c r="T2" s="383"/>
      <c r="U2" s="383"/>
      <c r="V2" s="383"/>
      <c r="W2" s="383"/>
    </row>
    <row r="3" spans="1:23">
      <c r="A3" s="117"/>
      <c r="B3" s="117"/>
      <c r="C3" s="117"/>
      <c r="D3" s="117"/>
      <c r="E3" s="117"/>
      <c r="F3" s="117"/>
      <c r="G3" s="117"/>
      <c r="H3" s="117"/>
      <c r="I3" s="117"/>
      <c r="J3" s="385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>
      <c r="A4" s="117"/>
      <c r="B4" s="620"/>
      <c r="C4" s="620"/>
      <c r="D4" s="620"/>
      <c r="E4" s="620"/>
      <c r="F4" s="620"/>
      <c r="G4" s="620"/>
      <c r="H4" s="620"/>
      <c r="I4" s="620"/>
      <c r="J4" s="620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</row>
    <row r="5" spans="1:23">
      <c r="A5" s="621" t="s">
        <v>594</v>
      </c>
      <c r="B5" s="621"/>
      <c r="C5" s="621"/>
      <c r="D5" s="621"/>
      <c r="E5" s="621"/>
      <c r="F5" s="621"/>
      <c r="G5" s="621"/>
      <c r="H5" s="621"/>
      <c r="I5" s="621"/>
      <c r="J5" s="621"/>
    </row>
    <row r="6" spans="1:23" ht="27" customHeight="1">
      <c r="A6" s="621"/>
      <c r="B6" s="621"/>
      <c r="C6" s="621"/>
      <c r="D6" s="621"/>
      <c r="E6" s="621"/>
      <c r="F6" s="621"/>
      <c r="G6" s="621"/>
      <c r="H6" s="621"/>
      <c r="I6" s="621"/>
      <c r="J6" s="621"/>
    </row>
    <row r="7" spans="1:23">
      <c r="A7" s="237"/>
      <c r="B7" s="236"/>
      <c r="C7" s="238"/>
      <c r="D7" s="239"/>
      <c r="E7" s="117"/>
      <c r="F7" s="117"/>
      <c r="G7" s="117"/>
      <c r="H7" s="117"/>
      <c r="I7" s="117"/>
      <c r="J7" s="117"/>
    </row>
    <row r="8" spans="1:23" ht="56.25" customHeight="1">
      <c r="A8" s="361" t="s">
        <v>25</v>
      </c>
      <c r="B8" s="362" t="s">
        <v>26</v>
      </c>
      <c r="C8" s="373" t="s">
        <v>28</v>
      </c>
      <c r="D8" s="374" t="s">
        <v>215</v>
      </c>
      <c r="E8" s="553" t="s">
        <v>216</v>
      </c>
      <c r="F8" s="553" t="s">
        <v>212</v>
      </c>
      <c r="G8" s="374" t="s">
        <v>248</v>
      </c>
      <c r="H8" s="553" t="s">
        <v>299</v>
      </c>
      <c r="I8" s="553" t="s">
        <v>249</v>
      </c>
      <c r="J8" s="554" t="s">
        <v>515</v>
      </c>
    </row>
    <row r="9" spans="1:23" ht="20.25" customHeight="1">
      <c r="A9" s="301" t="s">
        <v>74</v>
      </c>
      <c r="B9" s="363" t="s">
        <v>14</v>
      </c>
      <c r="C9" s="363"/>
      <c r="D9" s="364" t="e">
        <f>#REF!+D11+#REF!</f>
        <v>#REF!</v>
      </c>
      <c r="E9" s="364" t="e">
        <f>#REF!+E11</f>
        <v>#REF!</v>
      </c>
      <c r="F9" s="364" t="e">
        <f>#REF!+F11</f>
        <v>#REF!</v>
      </c>
      <c r="G9" s="364" t="e">
        <f>#REF!+#REF!+#REF!</f>
        <v>#REF!</v>
      </c>
      <c r="H9" s="364" t="e">
        <f>#REF!+#REF!+#REF!</f>
        <v>#REF!</v>
      </c>
      <c r="I9" s="364" t="e">
        <f>#REF!+#REF!+#REF!</f>
        <v>#REF!</v>
      </c>
      <c r="J9" s="365">
        <f>SUM(J10:J15)</f>
        <v>17476.899999999998</v>
      </c>
    </row>
    <row r="10" spans="1:23" ht="36" customHeight="1">
      <c r="A10" s="245" t="s">
        <v>312</v>
      </c>
      <c r="B10" s="366" t="s">
        <v>43</v>
      </c>
      <c r="C10" s="366"/>
      <c r="D10" s="367"/>
      <c r="E10" s="367"/>
      <c r="F10" s="367"/>
      <c r="G10" s="367"/>
      <c r="H10" s="367"/>
      <c r="I10" s="367"/>
      <c r="J10" s="368">
        <f>'[2]Вед. 2019 (прил 4)'!G11</f>
        <v>1157.3</v>
      </c>
    </row>
    <row r="11" spans="1:23" ht="39.75" customHeight="1">
      <c r="A11" s="245" t="s">
        <v>210</v>
      </c>
      <c r="B11" s="366" t="s">
        <v>29</v>
      </c>
      <c r="C11" s="366"/>
      <c r="D11" s="367" t="e">
        <f>#REF!</f>
        <v>#REF!</v>
      </c>
      <c r="E11" s="367" t="e">
        <f>#REF!</f>
        <v>#REF!</v>
      </c>
      <c r="F11" s="367" t="e">
        <f>#REF!</f>
        <v>#REF!</v>
      </c>
      <c r="G11" s="367" t="e">
        <f>#REF!+#REF!</f>
        <v>#REF!</v>
      </c>
      <c r="H11" s="367" t="e">
        <f>#REF!+#REF!</f>
        <v>#REF!</v>
      </c>
      <c r="I11" s="367" t="e">
        <f>#REF!+#REF!</f>
        <v>#REF!</v>
      </c>
      <c r="J11" s="368">
        <f>'[2]Вед. 2019 (прил 4)'!G15</f>
        <v>1616.2000000000003</v>
      </c>
      <c r="R11" s="382"/>
    </row>
    <row r="12" spans="1:23" ht="44.25" customHeight="1">
      <c r="A12" s="245" t="s">
        <v>252</v>
      </c>
      <c r="B12" s="366" t="s">
        <v>46</v>
      </c>
      <c r="C12" s="366"/>
      <c r="D12" s="367" t="e">
        <f>#REF!</f>
        <v>#REF!</v>
      </c>
      <c r="E12" s="367" t="e">
        <f>#REF!</f>
        <v>#REF!</v>
      </c>
      <c r="F12" s="367" t="e">
        <f>#REF!</f>
        <v>#REF!</v>
      </c>
      <c r="G12" s="367" t="e">
        <f>#REF!+#REF!+#REF!</f>
        <v>#REF!</v>
      </c>
      <c r="H12" s="367" t="e">
        <f>#REF!+#REF!+#REF!</f>
        <v>#REF!</v>
      </c>
      <c r="I12" s="367" t="e">
        <f>#REF!+#REF!+#REF!</f>
        <v>#REF!</v>
      </c>
      <c r="J12" s="368">
        <f>'[2]Вед. 2019 (прил 4)'!G38</f>
        <v>9472.5</v>
      </c>
      <c r="L12" s="282" t="e">
        <f>J12+J10+J11-#REF!-#REF!</f>
        <v>#REF!</v>
      </c>
    </row>
    <row r="13" spans="1:23" ht="44.25" customHeight="1">
      <c r="A13" s="270" t="s">
        <v>586</v>
      </c>
      <c r="B13" s="366" t="s">
        <v>588</v>
      </c>
      <c r="C13" s="366"/>
      <c r="D13" s="367"/>
      <c r="E13" s="367"/>
      <c r="F13" s="367"/>
      <c r="G13" s="367"/>
      <c r="H13" s="367"/>
      <c r="I13" s="367"/>
      <c r="J13" s="368">
        <f>'Вед. 2019 (прил 4)'!G35</f>
        <v>2614.3000000000002</v>
      </c>
      <c r="L13" s="282"/>
    </row>
    <row r="14" spans="1:23" ht="20.25" customHeight="1">
      <c r="A14" s="270" t="s">
        <v>305</v>
      </c>
      <c r="B14" s="366" t="s">
        <v>182</v>
      </c>
      <c r="C14" s="366"/>
      <c r="D14" s="367" t="e">
        <f>#REF!</f>
        <v>#REF!</v>
      </c>
      <c r="E14" s="367" t="e">
        <f>#REF!</f>
        <v>#REF!</v>
      </c>
      <c r="F14" s="367" t="e">
        <f>#REF!</f>
        <v>#REF!</v>
      </c>
      <c r="G14" s="369" t="e">
        <f>#REF!</f>
        <v>#REF!</v>
      </c>
      <c r="H14" s="369" t="e">
        <f>#REF!</f>
        <v>#REF!</v>
      </c>
      <c r="I14" s="369" t="e">
        <f>#REF!</f>
        <v>#REF!</v>
      </c>
      <c r="J14" s="368">
        <f>'[2]Вед. 2019 (прил 4)'!G60</f>
        <v>20</v>
      </c>
    </row>
    <row r="15" spans="1:23" ht="17.25" customHeight="1">
      <c r="A15" s="270" t="s">
        <v>30</v>
      </c>
      <c r="B15" s="366" t="s">
        <v>183</v>
      </c>
      <c r="C15" s="366"/>
      <c r="D15" s="367">
        <v>100</v>
      </c>
      <c r="E15" s="367"/>
      <c r="F15" s="367">
        <v>100</v>
      </c>
      <c r="G15" s="369" t="e">
        <f>#REF!+#REF!+#REF!+#REF!+#REF!+#REF!</f>
        <v>#REF!</v>
      </c>
      <c r="H15" s="369" t="e">
        <f>#REF!+#REF!+#REF!+#REF!+#REF!+#REF!</f>
        <v>#REF!</v>
      </c>
      <c r="I15" s="369" t="e">
        <f>#REF!+#REF!+#REF!+#REF!+#REF!+#REF!</f>
        <v>#REF!</v>
      </c>
      <c r="J15" s="368">
        <f>'[2]Вед. 2019 (прил 4)'!G64+'[2]Вед. 2019 (прил 4)'!G27</f>
        <v>2596.6</v>
      </c>
    </row>
    <row r="16" spans="1:23" ht="28.5" customHeight="1">
      <c r="A16" s="301" t="s">
        <v>37</v>
      </c>
      <c r="B16" s="363" t="s">
        <v>31</v>
      </c>
      <c r="C16" s="363"/>
      <c r="D16" s="364" t="e">
        <f>D17+#REF!+#REF!+#REF!</f>
        <v>#REF!</v>
      </c>
      <c r="E16" s="364" t="e">
        <f>E17+#REF!+#REF!+#REF!</f>
        <v>#REF!</v>
      </c>
      <c r="F16" s="364" t="e">
        <f>F17+#REF!+#REF!+#REF!</f>
        <v>#REF!</v>
      </c>
      <c r="G16" s="364" t="e">
        <f>G17</f>
        <v>#REF!</v>
      </c>
      <c r="H16" s="364" t="e">
        <f>H17</f>
        <v>#REF!</v>
      </c>
      <c r="I16" s="364" t="e">
        <f>I17</f>
        <v>#REF!</v>
      </c>
      <c r="J16" s="365">
        <f>J17</f>
        <v>46.5</v>
      </c>
    </row>
    <row r="17" spans="1:10" ht="30.75" customHeight="1">
      <c r="A17" s="270" t="s">
        <v>180</v>
      </c>
      <c r="B17" s="366" t="s">
        <v>21</v>
      </c>
      <c r="C17" s="366"/>
      <c r="D17" s="367" t="e">
        <f>#REF!</f>
        <v>#REF!</v>
      </c>
      <c r="E17" s="367" t="e">
        <f>#REF!</f>
        <v>#REF!</v>
      </c>
      <c r="F17" s="367" t="e">
        <f>#REF!</f>
        <v>#REF!</v>
      </c>
      <c r="G17" s="367" t="e">
        <f>#REF!+#REF!</f>
        <v>#REF!</v>
      </c>
      <c r="H17" s="367" t="e">
        <f>#REF!+#REF!</f>
        <v>#REF!</v>
      </c>
      <c r="I17" s="367" t="e">
        <f>#REF!+#REF!</f>
        <v>#REF!</v>
      </c>
      <c r="J17" s="368">
        <f>'[2]Вед. 2019 (прил 4)'!G96</f>
        <v>46.5</v>
      </c>
    </row>
    <row r="18" spans="1:10" ht="21" customHeight="1">
      <c r="A18" s="337" t="s">
        <v>313</v>
      </c>
      <c r="B18" s="363" t="s">
        <v>314</v>
      </c>
      <c r="C18" s="363"/>
      <c r="D18" s="364"/>
      <c r="E18" s="364"/>
      <c r="F18" s="364"/>
      <c r="G18" s="364"/>
      <c r="H18" s="364"/>
      <c r="I18" s="364"/>
      <c r="J18" s="365">
        <f>SUM(J19:J21)</f>
        <v>34019.9</v>
      </c>
    </row>
    <row r="19" spans="1:10" ht="15.75" customHeight="1">
      <c r="A19" s="245" t="s">
        <v>402</v>
      </c>
      <c r="B19" s="366" t="s">
        <v>399</v>
      </c>
      <c r="C19" s="366"/>
      <c r="D19" s="367">
        <f>[3]роспись!H63</f>
        <v>5320</v>
      </c>
      <c r="E19" s="367">
        <v>480</v>
      </c>
      <c r="F19" s="367">
        <v>668</v>
      </c>
      <c r="G19" s="367" t="e">
        <f>#REF!</f>
        <v>#REF!</v>
      </c>
      <c r="H19" s="367" t="e">
        <f>#REF!</f>
        <v>#REF!</v>
      </c>
      <c r="I19" s="367" t="e">
        <f>#REF!</f>
        <v>#REF!</v>
      </c>
      <c r="J19" s="368">
        <f>'[2]Функц.2019 (прил 3) '!L95</f>
        <v>140</v>
      </c>
    </row>
    <row r="20" spans="1:10" ht="21" customHeight="1">
      <c r="A20" s="245" t="s">
        <v>224</v>
      </c>
      <c r="B20" s="366" t="s">
        <v>223</v>
      </c>
      <c r="C20" s="366"/>
      <c r="D20" s="367">
        <f>[3]роспись!H68</f>
        <v>668</v>
      </c>
      <c r="E20" s="367">
        <v>480</v>
      </c>
      <c r="F20" s="367">
        <v>668</v>
      </c>
      <c r="G20" s="367" t="e">
        <f>#REF!</f>
        <v>#REF!</v>
      </c>
      <c r="H20" s="367" t="e">
        <f>#REF!</f>
        <v>#REF!</v>
      </c>
      <c r="I20" s="367" t="e">
        <f>#REF!</f>
        <v>#REF!</v>
      </c>
      <c r="J20" s="368">
        <f>'[2]Вед. 2019 (прил 4)'!G114</f>
        <v>33833.9</v>
      </c>
    </row>
    <row r="21" spans="1:10" ht="21" customHeight="1">
      <c r="A21" s="245" t="s">
        <v>452</v>
      </c>
      <c r="B21" s="366" t="s">
        <v>451</v>
      </c>
      <c r="C21" s="366"/>
      <c r="D21" s="367" t="e">
        <f>[3]роспись!H73</f>
        <v>#REF!</v>
      </c>
      <c r="E21" s="367">
        <v>480</v>
      </c>
      <c r="F21" s="367">
        <v>668</v>
      </c>
      <c r="G21" s="367" t="e">
        <f>#REF!</f>
        <v>#REF!</v>
      </c>
      <c r="H21" s="367" t="e">
        <f>#REF!</f>
        <v>#REF!</v>
      </c>
      <c r="I21" s="367" t="e">
        <f>#REF!</f>
        <v>#REF!</v>
      </c>
      <c r="J21" s="368">
        <f>'[2]Вед. 2019 (прил 4)'!G118</f>
        <v>46</v>
      </c>
    </row>
    <row r="22" spans="1:10">
      <c r="A22" s="301" t="s">
        <v>32</v>
      </c>
      <c r="B22" s="363" t="s">
        <v>33</v>
      </c>
      <c r="C22" s="366"/>
      <c r="D22" s="367" t="e">
        <f>#REF!+#REF!+#REF!</f>
        <v>#REF!</v>
      </c>
      <c r="E22" s="367" t="e">
        <f>#REF!+#REF!+#REF!</f>
        <v>#REF!</v>
      </c>
      <c r="F22" s="367" t="e">
        <f>#REF!+#REF!+#REF!</f>
        <v>#REF!</v>
      </c>
      <c r="G22" s="364" t="e">
        <f>#REF!+#REF!+#REF!+#REF!</f>
        <v>#REF!</v>
      </c>
      <c r="H22" s="364" t="e">
        <f>#REF!+#REF!+#REF!+#REF!</f>
        <v>#REF!</v>
      </c>
      <c r="I22" s="364" t="e">
        <f>#REF!+#REF!+#REF!+#REF!</f>
        <v>#REF!</v>
      </c>
      <c r="J22" s="365">
        <f>J23</f>
        <v>50593.4</v>
      </c>
    </row>
    <row r="23" spans="1:10">
      <c r="A23" s="333" t="s">
        <v>322</v>
      </c>
      <c r="B23" s="366" t="s">
        <v>80</v>
      </c>
      <c r="C23" s="366"/>
      <c r="D23" s="367"/>
      <c r="E23" s="367"/>
      <c r="F23" s="367"/>
      <c r="G23" s="367"/>
      <c r="H23" s="367"/>
      <c r="I23" s="367"/>
      <c r="J23" s="368">
        <f>'[2]Вед. 2019 (прил 4)'!G120</f>
        <v>50593.4</v>
      </c>
    </row>
    <row r="24" spans="1:10">
      <c r="A24" s="301" t="s">
        <v>34</v>
      </c>
      <c r="B24" s="363" t="s">
        <v>22</v>
      </c>
      <c r="C24" s="363"/>
      <c r="D24" s="364" t="e">
        <f t="shared" ref="D24:I24" si="0">D26</f>
        <v>#REF!</v>
      </c>
      <c r="E24" s="364" t="e">
        <f t="shared" si="0"/>
        <v>#REF!</v>
      </c>
      <c r="F24" s="364" t="e">
        <f t="shared" si="0"/>
        <v>#REF!</v>
      </c>
      <c r="G24" s="364" t="e">
        <f t="shared" si="0"/>
        <v>#REF!</v>
      </c>
      <c r="H24" s="364" t="e">
        <f t="shared" si="0"/>
        <v>#REF!</v>
      </c>
      <c r="I24" s="364" t="e">
        <f t="shared" si="0"/>
        <v>#REF!</v>
      </c>
      <c r="J24" s="365">
        <f>SUM(J25:J26)</f>
        <v>903.09999999999991</v>
      </c>
    </row>
    <row r="25" spans="1:10" ht="27" customHeight="1">
      <c r="A25" s="270" t="s">
        <v>330</v>
      </c>
      <c r="B25" s="366" t="s">
        <v>329</v>
      </c>
      <c r="C25" s="366"/>
      <c r="D25" s="367" t="e">
        <f>D26</f>
        <v>#REF!</v>
      </c>
      <c r="E25" s="367" t="e">
        <f>E26</f>
        <v>#REF!</v>
      </c>
      <c r="F25" s="367" t="e">
        <f>F26</f>
        <v>#REF!</v>
      </c>
      <c r="G25" s="367" t="e">
        <f>G26+#REF!+#REF!</f>
        <v>#REF!</v>
      </c>
      <c r="H25" s="367" t="e">
        <f>H26+#REF!+#REF!</f>
        <v>#REF!</v>
      </c>
      <c r="I25" s="367" t="e">
        <f>I26+#REF!+#REF!</f>
        <v>#REF!</v>
      </c>
      <c r="J25" s="368">
        <f>'[2]Вед. 2019 (прил 4)'!G168</f>
        <v>61.8</v>
      </c>
    </row>
    <row r="26" spans="1:10" ht="18.75" customHeight="1">
      <c r="A26" s="270" t="s">
        <v>522</v>
      </c>
      <c r="B26" s="366" t="s">
        <v>23</v>
      </c>
      <c r="C26" s="366"/>
      <c r="D26" s="367" t="e">
        <f>#REF!</f>
        <v>#REF!</v>
      </c>
      <c r="E26" s="367" t="e">
        <f>#REF!</f>
        <v>#REF!</v>
      </c>
      <c r="F26" s="367" t="e">
        <f>#REF!</f>
        <v>#REF!</v>
      </c>
      <c r="G26" s="367" t="e">
        <f>#REF!+#REF!+#REF!</f>
        <v>#REF!</v>
      </c>
      <c r="H26" s="367" t="e">
        <f>#REF!+#REF!+#REF!</f>
        <v>#REF!</v>
      </c>
      <c r="I26" s="367" t="e">
        <f>#REF!+#REF!+#REF!</f>
        <v>#REF!</v>
      </c>
      <c r="J26" s="368">
        <f>'[2]Вед. 2019 (прил 4)'!G169</f>
        <v>841.3</v>
      </c>
    </row>
    <row r="27" spans="1:10">
      <c r="A27" s="301" t="s">
        <v>208</v>
      </c>
      <c r="B27" s="363" t="s">
        <v>24</v>
      </c>
      <c r="C27" s="370"/>
      <c r="D27" s="371"/>
      <c r="E27" s="372"/>
      <c r="F27" s="372"/>
      <c r="G27" s="364" t="e">
        <f>G28</f>
        <v>#REF!</v>
      </c>
      <c r="H27" s="364" t="e">
        <f>H28</f>
        <v>#REF!</v>
      </c>
      <c r="I27" s="364" t="e">
        <f>I28</f>
        <v>#REF!</v>
      </c>
      <c r="J27" s="365">
        <f>SUM(J28:J29)</f>
        <v>8038.5999999999995</v>
      </c>
    </row>
    <row r="28" spans="1:10">
      <c r="A28" s="270" t="s">
        <v>38</v>
      </c>
      <c r="B28" s="366" t="s">
        <v>39</v>
      </c>
      <c r="C28" s="370"/>
      <c r="D28" s="371"/>
      <c r="E28" s="372"/>
      <c r="F28" s="372"/>
      <c r="G28" s="367" t="e">
        <f>#REF!+G29</f>
        <v>#REF!</v>
      </c>
      <c r="H28" s="367" t="e">
        <f>#REF!+H29</f>
        <v>#REF!</v>
      </c>
      <c r="I28" s="367" t="e">
        <f>#REF!+I29</f>
        <v>#REF!</v>
      </c>
      <c r="J28" s="368">
        <f>'[2]Вед. 2019 (прил 4)'!G178</f>
        <v>5348.9</v>
      </c>
    </row>
    <row r="29" spans="1:10" ht="20.25" customHeight="1">
      <c r="A29" s="274" t="s">
        <v>310</v>
      </c>
      <c r="B29" s="366" t="s">
        <v>269</v>
      </c>
      <c r="C29" s="370"/>
      <c r="D29" s="371"/>
      <c r="E29" s="372"/>
      <c r="F29" s="372"/>
      <c r="G29" s="367" t="e">
        <f>#REF!</f>
        <v>#REF!</v>
      </c>
      <c r="H29" s="367" t="e">
        <f>#REF!</f>
        <v>#REF!</v>
      </c>
      <c r="I29" s="367" t="e">
        <f>#REF!</f>
        <v>#REF!</v>
      </c>
      <c r="J29" s="368">
        <f>'[2]Вед. 2019 (прил 4)'!G182</f>
        <v>2689.7</v>
      </c>
    </row>
    <row r="30" spans="1:10">
      <c r="A30" s="301" t="s">
        <v>35</v>
      </c>
      <c r="B30" s="363">
        <v>1000</v>
      </c>
      <c r="C30" s="370"/>
      <c r="D30" s="371"/>
      <c r="E30" s="372"/>
      <c r="F30" s="372"/>
      <c r="G30" s="364" t="e">
        <f>G32+G31</f>
        <v>#REF!</v>
      </c>
      <c r="H30" s="364" t="e">
        <f>H32+H31</f>
        <v>#REF!</v>
      </c>
      <c r="I30" s="364" t="e">
        <f>I32+I31</f>
        <v>#REF!</v>
      </c>
      <c r="J30" s="365">
        <f>SUM(J31:J32)</f>
        <v>1373.1999999999998</v>
      </c>
    </row>
    <row r="31" spans="1:10" ht="20.25" customHeight="1">
      <c r="A31" s="245" t="s">
        <v>221</v>
      </c>
      <c r="B31" s="366" t="s">
        <v>220</v>
      </c>
      <c r="C31" s="370"/>
      <c r="D31" s="371"/>
      <c r="E31" s="372"/>
      <c r="F31" s="372"/>
      <c r="G31" s="367" t="e">
        <f>#REF!</f>
        <v>#REF!</v>
      </c>
      <c r="H31" s="367" t="e">
        <f>#REF!</f>
        <v>#REF!</v>
      </c>
      <c r="I31" s="367" t="e">
        <f>#REF!</f>
        <v>#REF!</v>
      </c>
      <c r="J31" s="368">
        <f>'[2]Функц.2019 (прил 3) '!L177</f>
        <v>333.1</v>
      </c>
    </row>
    <row r="32" spans="1:10" ht="19.5" customHeight="1">
      <c r="A32" s="270" t="s">
        <v>171</v>
      </c>
      <c r="B32" s="366" t="s">
        <v>40</v>
      </c>
      <c r="C32" s="370"/>
      <c r="D32" s="371"/>
      <c r="E32" s="372"/>
      <c r="F32" s="372"/>
      <c r="G32" s="367" t="e">
        <f>#REF!+#REF!+#REF!</f>
        <v>#REF!</v>
      </c>
      <c r="H32" s="367" t="e">
        <f>#REF!+#REF!+#REF!</f>
        <v>#REF!</v>
      </c>
      <c r="I32" s="367" t="e">
        <f>#REF!+#REF!+#REF!</f>
        <v>#REF!</v>
      </c>
      <c r="J32" s="368">
        <f>'[2]Вед. 2019 (прил 4)'!G195</f>
        <v>1040.0999999999999</v>
      </c>
    </row>
    <row r="33" spans="1:15">
      <c r="A33" s="301" t="s">
        <v>170</v>
      </c>
      <c r="B33" s="363" t="s">
        <v>185</v>
      </c>
      <c r="C33" s="370"/>
      <c r="D33" s="371"/>
      <c r="E33" s="372"/>
      <c r="F33" s="372"/>
      <c r="G33" s="364" t="e">
        <f>G34</f>
        <v>#REF!</v>
      </c>
      <c r="H33" s="364" t="e">
        <f>H34</f>
        <v>#REF!</v>
      </c>
      <c r="I33" s="364" t="e">
        <f>I34</f>
        <v>#REF!</v>
      </c>
      <c r="J33" s="365">
        <f>J34</f>
        <v>545.29999999999995</v>
      </c>
    </row>
    <row r="34" spans="1:15">
      <c r="A34" s="270" t="s">
        <v>186</v>
      </c>
      <c r="B34" s="366" t="s">
        <v>184</v>
      </c>
      <c r="C34" s="370"/>
      <c r="D34" s="371"/>
      <c r="E34" s="372"/>
      <c r="F34" s="372"/>
      <c r="G34" s="367" t="e">
        <f>#REF!</f>
        <v>#REF!</v>
      </c>
      <c r="H34" s="367" t="e">
        <f>#REF!</f>
        <v>#REF!</v>
      </c>
      <c r="I34" s="367" t="e">
        <f>#REF!</f>
        <v>#REF!</v>
      </c>
      <c r="J34" s="368">
        <f>'[2]Вед. 2019 (прил 4)'!G200</f>
        <v>545.29999999999995</v>
      </c>
    </row>
    <row r="35" spans="1:15">
      <c r="A35" s="301" t="s">
        <v>187</v>
      </c>
      <c r="B35" s="363" t="s">
        <v>188</v>
      </c>
      <c r="C35" s="370"/>
      <c r="D35" s="371"/>
      <c r="E35" s="372"/>
      <c r="F35" s="372"/>
      <c r="G35" s="364" t="e">
        <f>G36</f>
        <v>#REF!</v>
      </c>
      <c r="H35" s="364" t="e">
        <f>H36</f>
        <v>#REF!</v>
      </c>
      <c r="I35" s="364" t="e">
        <f>I36</f>
        <v>#REF!</v>
      </c>
      <c r="J35" s="365">
        <f>J36</f>
        <v>692.4</v>
      </c>
    </row>
    <row r="36" spans="1:15" ht="13.5" thickBot="1">
      <c r="A36" s="270" t="s">
        <v>190</v>
      </c>
      <c r="B36" s="366" t="s">
        <v>189</v>
      </c>
      <c r="C36" s="370"/>
      <c r="D36" s="371"/>
      <c r="E36" s="372"/>
      <c r="F36" s="372"/>
      <c r="G36" s="367" t="e">
        <f>#REF!+#REF!</f>
        <v>#REF!</v>
      </c>
      <c r="H36" s="367" t="e">
        <f>#REF!+#REF!</f>
        <v>#REF!</v>
      </c>
      <c r="I36" s="367" t="e">
        <f>#REF!+#REF!</f>
        <v>#REF!</v>
      </c>
      <c r="J36" s="368">
        <f>'[2]Вед. 2019 (прил 4)'!G205</f>
        <v>692.4</v>
      </c>
    </row>
    <row r="37" spans="1:15" ht="15" thickBot="1">
      <c r="A37" s="375" t="s">
        <v>36</v>
      </c>
      <c r="B37" s="376"/>
      <c r="C37" s="377"/>
      <c r="D37" s="378"/>
      <c r="E37" s="379"/>
      <c r="F37" s="379"/>
      <c r="G37" s="380" t="e">
        <f>#REF!+#REF!</f>
        <v>#REF!</v>
      </c>
      <c r="H37" s="380" t="e">
        <f>#REF!+#REF!</f>
        <v>#REF!</v>
      </c>
      <c r="I37" s="380" t="e">
        <f>#REF!+#REF!</f>
        <v>#REF!</v>
      </c>
      <c r="J37" s="381">
        <f>J35+J33+J30+J27+J24+J22+J18+J16+J9</f>
        <v>113689.29999999999</v>
      </c>
      <c r="O37" s="282"/>
    </row>
    <row r="39" spans="1:15">
      <c r="J39" s="282"/>
    </row>
    <row r="40" spans="1:15">
      <c r="J40" s="108"/>
    </row>
    <row r="42" spans="1:15">
      <c r="J42" s="116"/>
    </row>
  </sheetData>
  <mergeCells count="2">
    <mergeCell ref="A5:J6"/>
    <mergeCell ref="B4:J4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3"/>
  <sheetViews>
    <sheetView workbookViewId="0">
      <selection activeCell="L51" sqref="L51"/>
    </sheetView>
  </sheetViews>
  <sheetFormatPr defaultRowHeight="12.75"/>
  <cols>
    <col min="1" max="1" width="46.140625" style="8" customWidth="1"/>
    <col min="2" max="2" width="16" style="9" customWidth="1"/>
    <col min="3" max="3" width="13.28515625" style="8" customWidth="1"/>
    <col min="4" max="4" width="13.5703125" style="8" customWidth="1"/>
    <col min="5" max="5" width="0.140625" style="9" hidden="1" customWidth="1"/>
    <col min="6" max="6" width="8.140625" style="10" hidden="1" customWidth="1"/>
    <col min="7" max="7" width="8" style="115" hidden="1" customWidth="1"/>
    <col min="8" max="8" width="5.140625" style="115" hidden="1" customWidth="1"/>
    <col min="9" max="9" width="11.7109375" style="115" hidden="1" customWidth="1"/>
    <col min="10" max="10" width="11" style="115" hidden="1" customWidth="1"/>
    <col min="11" max="11" width="12.5703125" style="115" hidden="1" customWidth="1"/>
    <col min="12" max="12" width="15.28515625" style="115" customWidth="1"/>
    <col min="13" max="16" width="0" style="115" hidden="1" customWidth="1"/>
    <col min="17" max="16384" width="9.140625" style="115"/>
  </cols>
  <sheetData>
    <row r="1" spans="1:13" ht="15.75">
      <c r="A1" s="280"/>
      <c r="B1" s="359"/>
      <c r="C1" s="232"/>
      <c r="D1" s="232"/>
      <c r="E1" s="232"/>
      <c r="F1" s="233"/>
      <c r="G1" s="117"/>
      <c r="H1" s="117"/>
      <c r="I1" s="117"/>
      <c r="J1" s="117"/>
      <c r="K1" s="117"/>
      <c r="L1" s="234" t="s">
        <v>303</v>
      </c>
    </row>
    <row r="2" spans="1:13">
      <c r="A2" s="117"/>
      <c r="B2" s="117"/>
      <c r="C2" s="117"/>
      <c r="D2" s="117"/>
      <c r="E2" s="117"/>
      <c r="F2" s="117"/>
      <c r="G2" s="117"/>
      <c r="H2" s="117"/>
      <c r="I2" s="117"/>
      <c r="J2" s="123"/>
      <c r="K2" s="123"/>
      <c r="L2" s="384" t="s">
        <v>544</v>
      </c>
    </row>
    <row r="3" spans="1:13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385"/>
    </row>
    <row r="4" spans="1:13">
      <c r="A4" s="117"/>
      <c r="B4" s="117"/>
      <c r="C4" s="117"/>
      <c r="D4" s="620"/>
      <c r="E4" s="620"/>
      <c r="F4" s="620"/>
      <c r="G4" s="620"/>
      <c r="H4" s="620"/>
      <c r="I4" s="620"/>
      <c r="J4" s="620"/>
      <c r="K4" s="620"/>
      <c r="L4" s="620"/>
    </row>
    <row r="5" spans="1:13" ht="12.75" customHeight="1">
      <c r="A5" s="621" t="s">
        <v>595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</row>
    <row r="6" spans="1:13" ht="27" customHeight="1">
      <c r="A6" s="621"/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</row>
    <row r="7" spans="1:13" ht="13.5" thickBot="1">
      <c r="A7" s="237"/>
      <c r="B7" s="236"/>
      <c r="C7" s="236"/>
      <c r="D7" s="238"/>
      <c r="E7" s="238"/>
      <c r="F7" s="239"/>
      <c r="G7" s="117"/>
      <c r="H7" s="117"/>
      <c r="I7" s="117"/>
      <c r="J7" s="117"/>
      <c r="K7" s="117"/>
      <c r="L7" s="117"/>
    </row>
    <row r="8" spans="1:13" ht="85.5" customHeight="1" thickBot="1">
      <c r="A8" s="241" t="s">
        <v>25</v>
      </c>
      <c r="B8" s="242" t="s">
        <v>26</v>
      </c>
      <c r="C8" s="242" t="s">
        <v>15</v>
      </c>
      <c r="D8" s="242" t="s">
        <v>27</v>
      </c>
      <c r="E8" s="242" t="s">
        <v>28</v>
      </c>
      <c r="F8" s="243" t="s">
        <v>215</v>
      </c>
      <c r="G8" s="555" t="s">
        <v>216</v>
      </c>
      <c r="H8" s="555" t="s">
        <v>212</v>
      </c>
      <c r="I8" s="243" t="s">
        <v>248</v>
      </c>
      <c r="J8" s="555" t="s">
        <v>299</v>
      </c>
      <c r="K8" s="555" t="s">
        <v>249</v>
      </c>
      <c r="L8" s="556" t="s">
        <v>300</v>
      </c>
    </row>
    <row r="9" spans="1:13" ht="20.25" customHeight="1">
      <c r="A9" s="530" t="s">
        <v>74</v>
      </c>
      <c r="B9" s="423" t="s">
        <v>14</v>
      </c>
      <c r="C9" s="423"/>
      <c r="D9" s="423"/>
      <c r="E9" s="423"/>
      <c r="F9" s="531" t="e">
        <f>F11+F14+#REF!</f>
        <v>#REF!</v>
      </c>
      <c r="G9" s="531" t="e">
        <f>G11+G14</f>
        <v>#REF!</v>
      </c>
      <c r="H9" s="531" t="e">
        <f>H11+H14</f>
        <v>#REF!</v>
      </c>
      <c r="I9" s="532" t="e">
        <f>I11+I31+#REF!</f>
        <v>#REF!</v>
      </c>
      <c r="J9" s="532" t="e">
        <f>J11+J31+#REF!</f>
        <v>#REF!</v>
      </c>
      <c r="K9" s="532" t="e">
        <f>K11+K31+#REF!</f>
        <v>#REF!</v>
      </c>
      <c r="L9" s="533">
        <f>L10+L14+L26+L51+L55+L48</f>
        <v>17476.900000000001</v>
      </c>
    </row>
    <row r="10" spans="1:13" ht="41.25" customHeight="1">
      <c r="A10" s="293" t="s">
        <v>312</v>
      </c>
      <c r="B10" s="295" t="s">
        <v>43</v>
      </c>
      <c r="C10" s="295"/>
      <c r="D10" s="295"/>
      <c r="E10" s="296"/>
      <c r="F10" s="297"/>
      <c r="G10" s="297"/>
      <c r="H10" s="297"/>
      <c r="I10" s="298"/>
      <c r="J10" s="298"/>
      <c r="K10" s="298"/>
      <c r="L10" s="299">
        <f>L11</f>
        <v>1157.3</v>
      </c>
    </row>
    <row r="11" spans="1:13">
      <c r="A11" s="300" t="s">
        <v>158</v>
      </c>
      <c r="B11" s="296" t="s">
        <v>43</v>
      </c>
      <c r="C11" s="296" t="s">
        <v>464</v>
      </c>
      <c r="D11" s="296"/>
      <c r="E11" s="296"/>
      <c r="F11" s="297">
        <f t="shared" ref="F11:K11" si="0">F13</f>
        <v>753.2</v>
      </c>
      <c r="G11" s="297">
        <f t="shared" si="0"/>
        <v>530.70000000000005</v>
      </c>
      <c r="H11" s="297">
        <f t="shared" si="0"/>
        <v>753.2</v>
      </c>
      <c r="I11" s="302">
        <f t="shared" si="0"/>
        <v>918.9</v>
      </c>
      <c r="J11" s="302">
        <f t="shared" si="0"/>
        <v>606.1</v>
      </c>
      <c r="K11" s="302">
        <f t="shared" si="0"/>
        <v>918.9</v>
      </c>
      <c r="L11" s="303">
        <f>L12</f>
        <v>1157.3</v>
      </c>
    </row>
    <row r="12" spans="1:13" ht="56.25" customHeight="1">
      <c r="A12" s="244" t="s">
        <v>336</v>
      </c>
      <c r="B12" s="246" t="s">
        <v>43</v>
      </c>
      <c r="C12" s="246" t="s">
        <v>464</v>
      </c>
      <c r="D12" s="246" t="s">
        <v>334</v>
      </c>
      <c r="E12" s="246"/>
      <c r="F12" s="247" t="e">
        <f>[3]роспись!H9</f>
        <v>#REF!</v>
      </c>
      <c r="G12" s="247">
        <v>530.70000000000005</v>
      </c>
      <c r="H12" s="247">
        <v>753.2</v>
      </c>
      <c r="I12" s="248">
        <v>918.9</v>
      </c>
      <c r="J12" s="249">
        <v>606.1</v>
      </c>
      <c r="K12" s="250">
        <v>918.9</v>
      </c>
      <c r="L12" s="251">
        <f>L13</f>
        <v>1157.3</v>
      </c>
      <c r="M12" s="282"/>
    </row>
    <row r="13" spans="1:13" ht="36">
      <c r="A13" s="244" t="s">
        <v>337</v>
      </c>
      <c r="B13" s="246" t="s">
        <v>43</v>
      </c>
      <c r="C13" s="246" t="s">
        <v>464</v>
      </c>
      <c r="D13" s="246" t="s">
        <v>335</v>
      </c>
      <c r="E13" s="246"/>
      <c r="F13" s="247">
        <f>[3]роспись!H10</f>
        <v>753.2</v>
      </c>
      <c r="G13" s="247">
        <v>530.70000000000005</v>
      </c>
      <c r="H13" s="247">
        <v>753.2</v>
      </c>
      <c r="I13" s="248">
        <v>918.9</v>
      </c>
      <c r="J13" s="249">
        <v>606.1</v>
      </c>
      <c r="K13" s="250">
        <v>918.9</v>
      </c>
      <c r="L13" s="251">
        <f>'[2]Вед. 2019 (прил 4)'!G14</f>
        <v>1157.3</v>
      </c>
    </row>
    <row r="14" spans="1:13" ht="39.75" customHeight="1">
      <c r="A14" s="300" t="s">
        <v>210</v>
      </c>
      <c r="B14" s="296" t="s">
        <v>29</v>
      </c>
      <c r="C14" s="296"/>
      <c r="D14" s="296"/>
      <c r="E14" s="296"/>
      <c r="F14" s="297" t="e">
        <f>F23</f>
        <v>#REF!</v>
      </c>
      <c r="G14" s="297" t="e">
        <f>G23</f>
        <v>#REF!</v>
      </c>
      <c r="H14" s="297" t="e">
        <f>H23</f>
        <v>#REF!</v>
      </c>
      <c r="I14" s="302" t="e">
        <f>I23+I16</f>
        <v>#REF!</v>
      </c>
      <c r="J14" s="302" t="e">
        <f>J23+J16</f>
        <v>#REF!</v>
      </c>
      <c r="K14" s="302" t="e">
        <f>K23+K16</f>
        <v>#REF!</v>
      </c>
      <c r="L14" s="303">
        <f>L23+L16</f>
        <v>1616.2000000000003</v>
      </c>
    </row>
    <row r="15" spans="1:13" ht="30" customHeight="1">
      <c r="A15" s="557" t="s">
        <v>508</v>
      </c>
      <c r="B15" s="398" t="s">
        <v>29</v>
      </c>
      <c r="C15" s="296" t="s">
        <v>465</v>
      </c>
      <c r="D15" s="398"/>
      <c r="E15" s="296"/>
      <c r="F15" s="297" t="e">
        <f>#REF!</f>
        <v>#REF!</v>
      </c>
      <c r="G15" s="297" t="e">
        <f>#REF!</f>
        <v>#REF!</v>
      </c>
      <c r="H15" s="297" t="e">
        <f>#REF!</f>
        <v>#REF!</v>
      </c>
      <c r="I15" s="302" t="e">
        <f>#REF!</f>
        <v>#REF!</v>
      </c>
      <c r="J15" s="302" t="e">
        <f>#REF!</f>
        <v>#REF!</v>
      </c>
      <c r="K15" s="302" t="e">
        <f>#REF!</f>
        <v>#REF!</v>
      </c>
      <c r="L15" s="303">
        <f>L16+L23</f>
        <v>1616.2000000000003</v>
      </c>
    </row>
    <row r="16" spans="1:13" ht="24">
      <c r="A16" s="300" t="s">
        <v>251</v>
      </c>
      <c r="B16" s="296" t="s">
        <v>29</v>
      </c>
      <c r="C16" s="296" t="s">
        <v>502</v>
      </c>
      <c r="D16" s="296"/>
      <c r="E16" s="296"/>
      <c r="F16" s="297"/>
      <c r="G16" s="297"/>
      <c r="H16" s="297"/>
      <c r="I16" s="302" t="e">
        <f>I18+#REF!</f>
        <v>#REF!</v>
      </c>
      <c r="J16" s="302" t="e">
        <f>J18+#REF!</f>
        <v>#REF!</v>
      </c>
      <c r="K16" s="302" t="e">
        <f>K18+#REF!</f>
        <v>#REF!</v>
      </c>
      <c r="L16" s="303">
        <f>L18+L20+L21</f>
        <v>1469.8000000000002</v>
      </c>
    </row>
    <row r="17" spans="1:18" ht="48">
      <c r="A17" s="537" t="s">
        <v>338</v>
      </c>
      <c r="B17" s="246" t="s">
        <v>29</v>
      </c>
      <c r="C17" s="246" t="s">
        <v>502</v>
      </c>
      <c r="D17" s="246" t="s">
        <v>334</v>
      </c>
      <c r="E17" s="246"/>
      <c r="F17" s="247"/>
      <c r="G17" s="247"/>
      <c r="H17" s="247"/>
      <c r="I17" s="268">
        <v>519.5</v>
      </c>
      <c r="J17" s="259">
        <v>330.8</v>
      </c>
      <c r="K17" s="260">
        <v>519.70000000000005</v>
      </c>
      <c r="L17" s="269">
        <f>L18</f>
        <v>719.80000000000007</v>
      </c>
    </row>
    <row r="18" spans="1:18" ht="24">
      <c r="A18" s="537" t="s">
        <v>339</v>
      </c>
      <c r="B18" s="246" t="s">
        <v>29</v>
      </c>
      <c r="C18" s="246" t="s">
        <v>502</v>
      </c>
      <c r="D18" s="246" t="s">
        <v>335</v>
      </c>
      <c r="E18" s="246"/>
      <c r="F18" s="247"/>
      <c r="G18" s="247"/>
      <c r="H18" s="247"/>
      <c r="I18" s="268">
        <v>519.5</v>
      </c>
      <c r="J18" s="259">
        <v>330.8</v>
      </c>
      <c r="K18" s="260">
        <v>519.70000000000005</v>
      </c>
      <c r="L18" s="269">
        <f>'[2]Вед. 2019 (прил 4)'!G19</f>
        <v>719.80000000000007</v>
      </c>
    </row>
    <row r="19" spans="1:18" ht="35.25" customHeight="1">
      <c r="A19" s="517" t="s">
        <v>341</v>
      </c>
      <c r="B19" s="246" t="s">
        <v>29</v>
      </c>
      <c r="C19" s="246" t="s">
        <v>502</v>
      </c>
      <c r="D19" s="246" t="s">
        <v>340</v>
      </c>
      <c r="E19" s="246"/>
      <c r="F19" s="247"/>
      <c r="G19" s="247"/>
      <c r="H19" s="247"/>
      <c r="I19" s="268">
        <v>519.5</v>
      </c>
      <c r="J19" s="259">
        <v>330.8</v>
      </c>
      <c r="K19" s="260">
        <v>519.70000000000005</v>
      </c>
      <c r="L19" s="269">
        <f>L20</f>
        <v>750</v>
      </c>
    </row>
    <row r="20" spans="1:18" ht="36">
      <c r="A20" s="244" t="s">
        <v>306</v>
      </c>
      <c r="B20" s="246" t="s">
        <v>29</v>
      </c>
      <c r="C20" s="246" t="s">
        <v>502</v>
      </c>
      <c r="D20" s="246" t="s">
        <v>253</v>
      </c>
      <c r="E20" s="246"/>
      <c r="F20" s="247"/>
      <c r="G20" s="247"/>
      <c r="H20" s="247"/>
      <c r="I20" s="268">
        <v>519.5</v>
      </c>
      <c r="J20" s="259">
        <v>330.8</v>
      </c>
      <c r="K20" s="260">
        <v>519.70000000000005</v>
      </c>
      <c r="L20" s="269">
        <f>'[2]Вед. 2019 (прил 4)'!G21</f>
        <v>750</v>
      </c>
    </row>
    <row r="21" spans="1:18" ht="24">
      <c r="A21" s="517" t="s">
        <v>346</v>
      </c>
      <c r="B21" s="246" t="s">
        <v>29</v>
      </c>
      <c r="C21" s="246" t="s">
        <v>502</v>
      </c>
      <c r="D21" s="246" t="s">
        <v>345</v>
      </c>
      <c r="E21" s="246"/>
      <c r="F21" s="247"/>
      <c r="G21" s="247"/>
      <c r="H21" s="247"/>
      <c r="I21" s="268"/>
      <c r="J21" s="403"/>
      <c r="K21" s="260"/>
      <c r="L21" s="269">
        <f>L22</f>
        <v>0</v>
      </c>
    </row>
    <row r="22" spans="1:18" ht="24">
      <c r="A22" s="244" t="s">
        <v>348</v>
      </c>
      <c r="B22" s="246" t="s">
        <v>29</v>
      </c>
      <c r="C22" s="246" t="s">
        <v>502</v>
      </c>
      <c r="D22" s="246" t="s">
        <v>347</v>
      </c>
      <c r="E22" s="246"/>
      <c r="F22" s="247"/>
      <c r="G22" s="247"/>
      <c r="H22" s="247"/>
      <c r="I22" s="268"/>
      <c r="J22" s="403"/>
      <c r="K22" s="260"/>
      <c r="L22" s="269">
        <f>'[2]Вед. 2019 (прил 4)'!G23</f>
        <v>0</v>
      </c>
    </row>
    <row r="23" spans="1:18" ht="30" customHeight="1">
      <c r="A23" s="557" t="s">
        <v>232</v>
      </c>
      <c r="B23" s="398" t="s">
        <v>29</v>
      </c>
      <c r="C23" s="296" t="s">
        <v>503</v>
      </c>
      <c r="D23" s="398"/>
      <c r="E23" s="296"/>
      <c r="F23" s="297" t="e">
        <f>#REF!</f>
        <v>#REF!</v>
      </c>
      <c r="G23" s="297" t="e">
        <f>#REF!</f>
        <v>#REF!</v>
      </c>
      <c r="H23" s="297" t="e">
        <f>#REF!</f>
        <v>#REF!</v>
      </c>
      <c r="I23" s="302" t="e">
        <f>#REF!</f>
        <v>#REF!</v>
      </c>
      <c r="J23" s="302" t="e">
        <f>#REF!</f>
        <v>#REF!</v>
      </c>
      <c r="K23" s="302" t="e">
        <f>#REF!</f>
        <v>#REF!</v>
      </c>
      <c r="L23" s="303">
        <f>L24</f>
        <v>146.4</v>
      </c>
    </row>
    <row r="24" spans="1:18" ht="51" customHeight="1">
      <c r="A24" s="244" t="s">
        <v>336</v>
      </c>
      <c r="B24" s="246" t="s">
        <v>29</v>
      </c>
      <c r="C24" s="246" t="s">
        <v>503</v>
      </c>
      <c r="D24" s="246" t="s">
        <v>334</v>
      </c>
      <c r="E24" s="246"/>
      <c r="F24" s="247" t="e">
        <f>[3]роспись!H13</f>
        <v>#REF!</v>
      </c>
      <c r="G24" s="247">
        <v>530.70000000000005</v>
      </c>
      <c r="H24" s="247">
        <v>753.2</v>
      </c>
      <c r="I24" s="248">
        <v>918.9</v>
      </c>
      <c r="J24" s="249">
        <v>606.1</v>
      </c>
      <c r="K24" s="250">
        <v>918.9</v>
      </c>
      <c r="L24" s="251">
        <f>L25</f>
        <v>146.4</v>
      </c>
    </row>
    <row r="25" spans="1:18" ht="27" customHeight="1">
      <c r="A25" s="244" t="s">
        <v>337</v>
      </c>
      <c r="B25" s="246" t="s">
        <v>29</v>
      </c>
      <c r="C25" s="246" t="s">
        <v>503</v>
      </c>
      <c r="D25" s="246" t="s">
        <v>335</v>
      </c>
      <c r="E25" s="246"/>
      <c r="F25" s="247" t="e">
        <f>[3]роспись!H14</f>
        <v>#REF!</v>
      </c>
      <c r="G25" s="247">
        <v>530.70000000000005</v>
      </c>
      <c r="H25" s="247">
        <v>753.2</v>
      </c>
      <c r="I25" s="248">
        <v>918.9</v>
      </c>
      <c r="J25" s="249">
        <v>606.1</v>
      </c>
      <c r="K25" s="250">
        <v>918.9</v>
      </c>
      <c r="L25" s="251">
        <f>'[2]Вед. 2019 (прил 4)'!G26</f>
        <v>146.4</v>
      </c>
    </row>
    <row r="26" spans="1:18" ht="48">
      <c r="A26" s="300" t="s">
        <v>252</v>
      </c>
      <c r="B26" s="296" t="s">
        <v>46</v>
      </c>
      <c r="C26" s="296"/>
      <c r="D26" s="296"/>
      <c r="E26" s="246"/>
      <c r="F26" s="247">
        <f>F28</f>
        <v>812</v>
      </c>
      <c r="G26" s="247">
        <f>G28</f>
        <v>615.29999999999995</v>
      </c>
      <c r="H26" s="247">
        <f>H28</f>
        <v>812</v>
      </c>
      <c r="I26" s="302" t="e">
        <f>I28+I31+I83</f>
        <v>#REF!</v>
      </c>
      <c r="J26" s="302" t="e">
        <f>J28+J31+J83</f>
        <v>#REF!</v>
      </c>
      <c r="K26" s="302" t="e">
        <f>K28+K31+K83</f>
        <v>#REF!</v>
      </c>
      <c r="L26" s="303">
        <f>L28+L31+L42+L39</f>
        <v>9472.5</v>
      </c>
      <c r="N26" s="282">
        <f>L26+L10+L14-L41-L44</f>
        <v>10906.4</v>
      </c>
    </row>
    <row r="27" spans="1:18" ht="42" customHeight="1">
      <c r="A27" s="300" t="s">
        <v>506</v>
      </c>
      <c r="B27" s="296" t="s">
        <v>46</v>
      </c>
      <c r="C27" s="296" t="s">
        <v>466</v>
      </c>
      <c r="D27" s="296"/>
      <c r="E27" s="296"/>
      <c r="F27" s="297">
        <v>812</v>
      </c>
      <c r="G27" s="297">
        <v>615.29999999999995</v>
      </c>
      <c r="H27" s="297">
        <v>812</v>
      </c>
      <c r="I27" s="302">
        <f t="shared" ref="I27:L28" si="1">I29</f>
        <v>941.8</v>
      </c>
      <c r="J27" s="302">
        <f t="shared" si="1"/>
        <v>625.6</v>
      </c>
      <c r="K27" s="302">
        <f t="shared" si="1"/>
        <v>941.8</v>
      </c>
      <c r="L27" s="303">
        <f>L28+L31+L39</f>
        <v>8639.2999999999993</v>
      </c>
      <c r="N27" s="282" t="e">
        <f>#REF!-N25</f>
        <v>#REF!</v>
      </c>
    </row>
    <row r="28" spans="1:18" ht="36">
      <c r="A28" s="300" t="s">
        <v>165</v>
      </c>
      <c r="B28" s="296" t="s">
        <v>46</v>
      </c>
      <c r="C28" s="296" t="s">
        <v>504</v>
      </c>
      <c r="D28" s="296"/>
      <c r="E28" s="296"/>
      <c r="F28" s="297">
        <v>812</v>
      </c>
      <c r="G28" s="297">
        <v>615.29999999999995</v>
      </c>
      <c r="H28" s="297">
        <v>812</v>
      </c>
      <c r="I28" s="302">
        <f t="shared" si="1"/>
        <v>941.8</v>
      </c>
      <c r="J28" s="302">
        <f t="shared" si="1"/>
        <v>625.6</v>
      </c>
      <c r="K28" s="302">
        <f t="shared" si="1"/>
        <v>941.8</v>
      </c>
      <c r="L28" s="303">
        <f t="shared" si="1"/>
        <v>1175.8999999999999</v>
      </c>
      <c r="N28" s="282" t="e">
        <f>#REF!-N26</f>
        <v>#REF!</v>
      </c>
    </row>
    <row r="29" spans="1:18" ht="48">
      <c r="A29" s="244" t="s">
        <v>338</v>
      </c>
      <c r="B29" s="246" t="s">
        <v>46</v>
      </c>
      <c r="C29" s="246" t="s">
        <v>504</v>
      </c>
      <c r="D29" s="246" t="s">
        <v>334</v>
      </c>
      <c r="E29" s="246"/>
      <c r="F29" s="247">
        <f t="shared" ref="F29:H30" si="2">F30</f>
        <v>8080.0000000000009</v>
      </c>
      <c r="G29" s="247">
        <f t="shared" si="2"/>
        <v>5102.6000000000004</v>
      </c>
      <c r="H29" s="247">
        <f t="shared" si="2"/>
        <v>8080</v>
      </c>
      <c r="I29" s="248">
        <v>941.8</v>
      </c>
      <c r="J29" s="247">
        <v>625.6</v>
      </c>
      <c r="K29" s="247">
        <v>941.8</v>
      </c>
      <c r="L29" s="251">
        <f>L30</f>
        <v>1175.8999999999999</v>
      </c>
    </row>
    <row r="30" spans="1:18" ht="24">
      <c r="A30" s="244" t="s">
        <v>339</v>
      </c>
      <c r="B30" s="246" t="s">
        <v>46</v>
      </c>
      <c r="C30" s="246" t="s">
        <v>504</v>
      </c>
      <c r="D30" s="246" t="s">
        <v>335</v>
      </c>
      <c r="E30" s="246"/>
      <c r="F30" s="247">
        <f t="shared" si="2"/>
        <v>8080.0000000000009</v>
      </c>
      <c r="G30" s="247">
        <f t="shared" si="2"/>
        <v>5102.6000000000004</v>
      </c>
      <c r="H30" s="247">
        <f t="shared" si="2"/>
        <v>8080</v>
      </c>
      <c r="I30" s="248">
        <v>941.8</v>
      </c>
      <c r="J30" s="247">
        <v>625.6</v>
      </c>
      <c r="K30" s="247">
        <v>941.8</v>
      </c>
      <c r="L30" s="251">
        <f>'[2]Вед. 2019 (прил 4)'!G42</f>
        <v>1175.8999999999999</v>
      </c>
    </row>
    <row r="31" spans="1:18" ht="36">
      <c r="A31" s="534" t="s">
        <v>175</v>
      </c>
      <c r="B31" s="296" t="s">
        <v>46</v>
      </c>
      <c r="C31" s="296" t="s">
        <v>505</v>
      </c>
      <c r="D31" s="296"/>
      <c r="E31" s="296"/>
      <c r="F31" s="297">
        <f>[3]роспись!H22</f>
        <v>8080.0000000000009</v>
      </c>
      <c r="G31" s="297">
        <v>5102.6000000000004</v>
      </c>
      <c r="H31" s="297">
        <v>8080</v>
      </c>
      <c r="I31" s="302" t="e">
        <f>I33+I35</f>
        <v>#REF!</v>
      </c>
      <c r="J31" s="302" t="e">
        <f>J33+J35</f>
        <v>#REF!</v>
      </c>
      <c r="K31" s="302" t="e">
        <f>K33+K35</f>
        <v>#REF!</v>
      </c>
      <c r="L31" s="303">
        <f>L32+L34+L36</f>
        <v>6891.1999999999989</v>
      </c>
    </row>
    <row r="32" spans="1:18" ht="48">
      <c r="A32" s="244" t="s">
        <v>338</v>
      </c>
      <c r="B32" s="246" t="s">
        <v>46</v>
      </c>
      <c r="C32" s="246" t="s">
        <v>505</v>
      </c>
      <c r="D32" s="246" t="s">
        <v>334</v>
      </c>
      <c r="E32" s="253" t="s">
        <v>77</v>
      </c>
      <c r="F32" s="255">
        <f>F33</f>
        <v>12.7</v>
      </c>
      <c r="G32" s="255">
        <f>G33</f>
        <v>0</v>
      </c>
      <c r="H32" s="255" t="str">
        <f>H33</f>
        <v>12,7</v>
      </c>
      <c r="I32" s="248">
        <v>8250.9</v>
      </c>
      <c r="J32" s="255">
        <v>5168.5</v>
      </c>
      <c r="K32" s="255">
        <v>8250.9</v>
      </c>
      <c r="L32" s="256">
        <f>L33</f>
        <v>5726.0999999999995</v>
      </c>
      <c r="R32" s="282"/>
    </row>
    <row r="33" spans="1:12" ht="24">
      <c r="A33" s="244" t="s">
        <v>339</v>
      </c>
      <c r="B33" s="246" t="s">
        <v>46</v>
      </c>
      <c r="C33" s="246" t="s">
        <v>505</v>
      </c>
      <c r="D33" s="246" t="s">
        <v>335</v>
      </c>
      <c r="E33" s="253" t="s">
        <v>77</v>
      </c>
      <c r="F33" s="255">
        <f>F35</f>
        <v>12.7</v>
      </c>
      <c r="G33" s="255">
        <f>G35</f>
        <v>0</v>
      </c>
      <c r="H33" s="255" t="str">
        <f>H35</f>
        <v>12,7</v>
      </c>
      <c r="I33" s="248">
        <v>8250.9</v>
      </c>
      <c r="J33" s="255">
        <v>5168.5</v>
      </c>
      <c r="K33" s="255">
        <v>8250.9</v>
      </c>
      <c r="L33" s="256">
        <f>'[2]Вед. 2019 (прил 4)'!G45</f>
        <v>5726.0999999999995</v>
      </c>
    </row>
    <row r="34" spans="1:12" ht="32.25" customHeight="1">
      <c r="A34" s="517" t="s">
        <v>341</v>
      </c>
      <c r="B34" s="246" t="s">
        <v>46</v>
      </c>
      <c r="C34" s="246" t="s">
        <v>505</v>
      </c>
      <c r="D34" s="246" t="s">
        <v>340</v>
      </c>
      <c r="E34" s="253" t="s">
        <v>77</v>
      </c>
      <c r="F34" s="255" t="e">
        <f>[3]роспись!H36</f>
        <v>#REF!</v>
      </c>
      <c r="G34" s="255"/>
      <c r="H34" s="255" t="s">
        <v>193</v>
      </c>
      <c r="I34" s="248" t="e">
        <f>I35+#REF!</f>
        <v>#REF!</v>
      </c>
      <c r="J34" s="248" t="e">
        <f>J35+#REF!</f>
        <v>#REF!</v>
      </c>
      <c r="K34" s="248" t="e">
        <f>K35+#REF!</f>
        <v>#REF!</v>
      </c>
      <c r="L34" s="251">
        <f>L35</f>
        <v>1071.6329999999998</v>
      </c>
    </row>
    <row r="35" spans="1:12" ht="36">
      <c r="A35" s="244" t="s">
        <v>306</v>
      </c>
      <c r="B35" s="246" t="s">
        <v>46</v>
      </c>
      <c r="C35" s="246" t="s">
        <v>505</v>
      </c>
      <c r="D35" s="246" t="s">
        <v>253</v>
      </c>
      <c r="E35" s="253" t="s">
        <v>77</v>
      </c>
      <c r="F35" s="255">
        <f>[3]роспись!H37</f>
        <v>12.7</v>
      </c>
      <c r="G35" s="255"/>
      <c r="H35" s="255" t="s">
        <v>193</v>
      </c>
      <c r="I35" s="248" t="e">
        <f>#REF!+#REF!</f>
        <v>#REF!</v>
      </c>
      <c r="J35" s="248" t="e">
        <f>#REF!+#REF!</f>
        <v>#REF!</v>
      </c>
      <c r="K35" s="248" t="e">
        <f>#REF!+#REF!</f>
        <v>#REF!</v>
      </c>
      <c r="L35" s="251">
        <f>'[2]Вед. 2019 (прил 4)'!G47</f>
        <v>1071.6329999999998</v>
      </c>
    </row>
    <row r="36" spans="1:12" ht="24">
      <c r="A36" s="517" t="s">
        <v>346</v>
      </c>
      <c r="B36" s="246" t="s">
        <v>46</v>
      </c>
      <c r="C36" s="246" t="s">
        <v>505</v>
      </c>
      <c r="D36" s="246" t="s">
        <v>345</v>
      </c>
      <c r="E36" s="246"/>
      <c r="F36" s="247"/>
      <c r="G36" s="247"/>
      <c r="H36" s="247"/>
      <c r="I36" s="247">
        <v>519.5</v>
      </c>
      <c r="J36" s="247">
        <v>330.8</v>
      </c>
      <c r="K36" s="247">
        <v>519.70000000000005</v>
      </c>
      <c r="L36" s="251">
        <f>L38+L37</f>
        <v>93.466999999999999</v>
      </c>
    </row>
    <row r="37" spans="1:12" ht="19.5" customHeight="1">
      <c r="A37" s="399" t="s">
        <v>627</v>
      </c>
      <c r="B37" s="246" t="s">
        <v>46</v>
      </c>
      <c r="C37" s="246" t="s">
        <v>505</v>
      </c>
      <c r="D37" s="246" t="s">
        <v>628</v>
      </c>
      <c r="E37" s="246"/>
      <c r="F37" s="247"/>
      <c r="G37" s="247"/>
      <c r="H37" s="247"/>
      <c r="I37" s="247"/>
      <c r="J37" s="247"/>
      <c r="K37" s="247"/>
      <c r="L37" s="251">
        <f>'[2]Вед. 2019 (прил 4)'!G49</f>
        <v>83.466999999999999</v>
      </c>
    </row>
    <row r="38" spans="1:12" ht="42.75" customHeight="1">
      <c r="A38" s="244" t="s">
        <v>348</v>
      </c>
      <c r="B38" s="246" t="s">
        <v>46</v>
      </c>
      <c r="C38" s="246" t="s">
        <v>505</v>
      </c>
      <c r="D38" s="246" t="s">
        <v>347</v>
      </c>
      <c r="E38" s="253" t="s">
        <v>77</v>
      </c>
      <c r="F38" s="255" t="e">
        <f>[3]роспись!G46</f>
        <v>#REF!</v>
      </c>
      <c r="G38" s="255"/>
      <c r="H38" s="255" t="s">
        <v>193</v>
      </c>
      <c r="I38" s="247" t="e">
        <f>I83+I84</f>
        <v>#REF!</v>
      </c>
      <c r="J38" s="247" t="e">
        <f>J83+J84</f>
        <v>#REF!</v>
      </c>
      <c r="K38" s="247" t="e">
        <f>K83+K84</f>
        <v>#REF!</v>
      </c>
      <c r="L38" s="251">
        <f>'[2]Вед. 2019 (прил 4)'!G50</f>
        <v>10</v>
      </c>
    </row>
    <row r="39" spans="1:12" ht="19.5" customHeight="1">
      <c r="A39" s="535" t="s">
        <v>547</v>
      </c>
      <c r="B39" s="416" t="s">
        <v>46</v>
      </c>
      <c r="C39" s="296" t="s">
        <v>550</v>
      </c>
      <c r="D39" s="253"/>
      <c r="E39" s="255"/>
      <c r="F39" s="255"/>
      <c r="G39" s="255"/>
      <c r="H39" s="250"/>
      <c r="I39" s="250"/>
      <c r="J39" s="250"/>
      <c r="K39" s="419"/>
      <c r="L39" s="536">
        <f>L40</f>
        <v>572.20000000000005</v>
      </c>
    </row>
    <row r="40" spans="1:12" ht="19.5" customHeight="1">
      <c r="A40" s="537" t="s">
        <v>548</v>
      </c>
      <c r="B40" s="350" t="s">
        <v>46</v>
      </c>
      <c r="C40" s="246" t="s">
        <v>550</v>
      </c>
      <c r="D40" s="253" t="s">
        <v>334</v>
      </c>
      <c r="E40" s="255"/>
      <c r="F40" s="255"/>
      <c r="G40" s="255"/>
      <c r="H40" s="250"/>
      <c r="I40" s="250"/>
      <c r="J40" s="250"/>
      <c r="K40" s="419"/>
      <c r="L40" s="538">
        <f>L41</f>
        <v>572.20000000000005</v>
      </c>
    </row>
    <row r="41" spans="1:12" ht="51" customHeight="1">
      <c r="A41" s="539" t="s">
        <v>549</v>
      </c>
      <c r="B41" s="350" t="s">
        <v>46</v>
      </c>
      <c r="C41" s="246" t="s">
        <v>550</v>
      </c>
      <c r="D41" s="253" t="s">
        <v>335</v>
      </c>
      <c r="E41" s="255"/>
      <c r="F41" s="255"/>
      <c r="G41" s="255"/>
      <c r="H41" s="250"/>
      <c r="I41" s="250"/>
      <c r="J41" s="250"/>
      <c r="K41" s="419"/>
      <c r="L41" s="538">
        <f>'[2]Вед. 2019 (прил 4)'!G53</f>
        <v>572.20000000000005</v>
      </c>
    </row>
    <row r="42" spans="1:12" ht="25.5" customHeight="1">
      <c r="A42" s="534" t="s">
        <v>518</v>
      </c>
      <c r="B42" s="296" t="s">
        <v>46</v>
      </c>
      <c r="C42" s="307" t="s">
        <v>519</v>
      </c>
      <c r="D42" s="296"/>
      <c r="E42" s="271"/>
      <c r="F42" s="272"/>
      <c r="G42" s="273"/>
      <c r="H42" s="273"/>
      <c r="I42" s="302">
        <f>I43</f>
        <v>657.2</v>
      </c>
      <c r="J42" s="302">
        <f>J43</f>
        <v>424.8</v>
      </c>
      <c r="K42" s="302">
        <f>K43</f>
        <v>657.2</v>
      </c>
      <c r="L42" s="303">
        <f>L43</f>
        <v>833.19999999999993</v>
      </c>
    </row>
    <row r="43" spans="1:12" ht="27.75" customHeight="1">
      <c r="A43" s="540" t="s">
        <v>176</v>
      </c>
      <c r="B43" s="246" t="s">
        <v>46</v>
      </c>
      <c r="C43" s="253" t="s">
        <v>519</v>
      </c>
      <c r="D43" s="246"/>
      <c r="E43" s="271"/>
      <c r="F43" s="272"/>
      <c r="G43" s="273"/>
      <c r="H43" s="273"/>
      <c r="I43" s="248">
        <v>657.2</v>
      </c>
      <c r="J43" s="248">
        <v>424.8</v>
      </c>
      <c r="K43" s="248">
        <v>657.2</v>
      </c>
      <c r="L43" s="251">
        <f>L44+L46</f>
        <v>833.19999999999993</v>
      </c>
    </row>
    <row r="44" spans="1:12" ht="48">
      <c r="A44" s="244" t="s">
        <v>338</v>
      </c>
      <c r="B44" s="246" t="s">
        <v>46</v>
      </c>
      <c r="C44" s="253" t="s">
        <v>519</v>
      </c>
      <c r="D44" s="246" t="s">
        <v>334</v>
      </c>
      <c r="E44" s="271"/>
      <c r="F44" s="272"/>
      <c r="G44" s="273"/>
      <c r="H44" s="273"/>
      <c r="I44" s="248"/>
      <c r="J44" s="248"/>
      <c r="K44" s="248"/>
      <c r="L44" s="251">
        <f>L45</f>
        <v>767.4</v>
      </c>
    </row>
    <row r="45" spans="1:12" ht="24">
      <c r="A45" s="244" t="s">
        <v>339</v>
      </c>
      <c r="B45" s="246" t="s">
        <v>46</v>
      </c>
      <c r="C45" s="253" t="s">
        <v>519</v>
      </c>
      <c r="D45" s="246" t="s">
        <v>335</v>
      </c>
      <c r="E45" s="271"/>
      <c r="F45" s="272"/>
      <c r="G45" s="273"/>
      <c r="H45" s="273"/>
      <c r="I45" s="248"/>
      <c r="J45" s="248"/>
      <c r="K45" s="248"/>
      <c r="L45" s="251">
        <f>'[2]Вед. 2019 (прил 4)'!G57</f>
        <v>767.4</v>
      </c>
    </row>
    <row r="46" spans="1:12" ht="57" customHeight="1">
      <c r="A46" s="517" t="s">
        <v>341</v>
      </c>
      <c r="B46" s="246" t="s">
        <v>46</v>
      </c>
      <c r="C46" s="253" t="s">
        <v>519</v>
      </c>
      <c r="D46" s="246" t="s">
        <v>340</v>
      </c>
      <c r="E46" s="271"/>
      <c r="F46" s="272"/>
      <c r="G46" s="273"/>
      <c r="H46" s="273"/>
      <c r="I46" s="248"/>
      <c r="J46" s="248"/>
      <c r="K46" s="248"/>
      <c r="L46" s="251">
        <f>L47</f>
        <v>65.8</v>
      </c>
    </row>
    <row r="47" spans="1:12" ht="36">
      <c r="A47" s="244" t="s">
        <v>306</v>
      </c>
      <c r="B47" s="246" t="s">
        <v>46</v>
      </c>
      <c r="C47" s="253" t="s">
        <v>519</v>
      </c>
      <c r="D47" s="246" t="s">
        <v>253</v>
      </c>
      <c r="E47" s="271"/>
      <c r="F47" s="272"/>
      <c r="G47" s="273"/>
      <c r="H47" s="273"/>
      <c r="I47" s="248"/>
      <c r="J47" s="248"/>
      <c r="K47" s="248"/>
      <c r="L47" s="251">
        <f>'[2]Вед. 2019 (прил 4)'!G59</f>
        <v>65.8</v>
      </c>
    </row>
    <row r="48" spans="1:12" ht="26.25" customHeight="1">
      <c r="A48" s="534" t="s">
        <v>586</v>
      </c>
      <c r="B48" s="296" t="s">
        <v>588</v>
      </c>
      <c r="C48" s="296" t="s">
        <v>591</v>
      </c>
      <c r="D48" s="246"/>
      <c r="E48" s="271"/>
      <c r="F48" s="272"/>
      <c r="G48" s="273"/>
      <c r="H48" s="273"/>
      <c r="I48" s="248"/>
      <c r="J48" s="248"/>
      <c r="K48" s="248"/>
      <c r="L48" s="303">
        <f>L49</f>
        <v>2614.3000000000002</v>
      </c>
    </row>
    <row r="49" spans="1:18" ht="26.25" customHeight="1">
      <c r="A49" s="245" t="s">
        <v>623</v>
      </c>
      <c r="B49" s="253" t="s">
        <v>588</v>
      </c>
      <c r="C49" s="253" t="s">
        <v>591</v>
      </c>
      <c r="D49" s="246" t="s">
        <v>345</v>
      </c>
      <c r="E49" s="271"/>
      <c r="F49" s="272"/>
      <c r="G49" s="273"/>
      <c r="H49" s="273"/>
      <c r="I49" s="248"/>
      <c r="J49" s="248"/>
      <c r="K49" s="248"/>
      <c r="L49" s="251">
        <f>L50</f>
        <v>2614.3000000000002</v>
      </c>
    </row>
    <row r="50" spans="1:18" ht="26.25" customHeight="1">
      <c r="A50" s="245" t="s">
        <v>624</v>
      </c>
      <c r="B50" s="253" t="s">
        <v>588</v>
      </c>
      <c r="C50" s="253" t="s">
        <v>591</v>
      </c>
      <c r="D50" s="246" t="s">
        <v>622</v>
      </c>
      <c r="E50" s="271"/>
      <c r="F50" s="272"/>
      <c r="G50" s="273"/>
      <c r="H50" s="273"/>
      <c r="I50" s="248"/>
      <c r="J50" s="248"/>
      <c r="K50" s="248"/>
      <c r="L50" s="251">
        <f>'Вед. 2019 (прил 4)'!G35</f>
        <v>2614.3000000000002</v>
      </c>
    </row>
    <row r="51" spans="1:18" ht="26.25" customHeight="1">
      <c r="A51" s="534" t="s">
        <v>305</v>
      </c>
      <c r="B51" s="296" t="s">
        <v>182</v>
      </c>
      <c r="C51" s="296"/>
      <c r="D51" s="296"/>
      <c r="E51" s="246"/>
      <c r="F51" s="247">
        <f>F52</f>
        <v>80</v>
      </c>
      <c r="G51" s="247">
        <f t="shared" ref="G51:L51" si="3">G52</f>
        <v>69.900000000000006</v>
      </c>
      <c r="H51" s="247">
        <f t="shared" si="3"/>
        <v>80</v>
      </c>
      <c r="I51" s="314">
        <f t="shared" si="3"/>
        <v>50</v>
      </c>
      <c r="J51" s="314">
        <f t="shared" si="3"/>
        <v>0</v>
      </c>
      <c r="K51" s="314">
        <f t="shared" si="3"/>
        <v>0</v>
      </c>
      <c r="L51" s="303">
        <f t="shared" si="3"/>
        <v>20</v>
      </c>
    </row>
    <row r="52" spans="1:18" ht="26.25" customHeight="1">
      <c r="A52" s="300" t="s">
        <v>166</v>
      </c>
      <c r="B52" s="307" t="s">
        <v>182</v>
      </c>
      <c r="C52" s="307" t="s">
        <v>463</v>
      </c>
      <c r="D52" s="307"/>
      <c r="E52" s="296"/>
      <c r="F52" s="297">
        <v>80</v>
      </c>
      <c r="G52" s="297">
        <v>69.900000000000006</v>
      </c>
      <c r="H52" s="297">
        <v>80</v>
      </c>
      <c r="I52" s="311">
        <f>I54</f>
        <v>50</v>
      </c>
      <c r="J52" s="311">
        <f>J54</f>
        <v>0</v>
      </c>
      <c r="K52" s="311">
        <f>K54</f>
        <v>0</v>
      </c>
      <c r="L52" s="312">
        <f>L54</f>
        <v>20</v>
      </c>
    </row>
    <row r="53" spans="1:18" ht="23.25" customHeight="1">
      <c r="A53" s="541" t="s">
        <v>346</v>
      </c>
      <c r="B53" s="253" t="s">
        <v>182</v>
      </c>
      <c r="C53" s="253" t="s">
        <v>463</v>
      </c>
      <c r="D53" s="253" t="s">
        <v>345</v>
      </c>
      <c r="E53" s="296"/>
      <c r="F53" s="308">
        <f t="shared" ref="F53:H54" si="4">F54</f>
        <v>100</v>
      </c>
      <c r="G53" s="308">
        <f t="shared" si="4"/>
        <v>0</v>
      </c>
      <c r="H53" s="308">
        <f t="shared" si="4"/>
        <v>100</v>
      </c>
      <c r="I53" s="248">
        <v>50</v>
      </c>
      <c r="J53" s="308"/>
      <c r="K53" s="308">
        <v>0</v>
      </c>
      <c r="L53" s="251">
        <f>L54</f>
        <v>20</v>
      </c>
    </row>
    <row r="54" spans="1:18" ht="20.25" customHeight="1">
      <c r="A54" s="244" t="s">
        <v>254</v>
      </c>
      <c r="B54" s="253" t="s">
        <v>182</v>
      </c>
      <c r="C54" s="253" t="s">
        <v>463</v>
      </c>
      <c r="D54" s="253" t="s">
        <v>255</v>
      </c>
      <c r="E54" s="296"/>
      <c r="F54" s="308">
        <f t="shared" si="4"/>
        <v>100</v>
      </c>
      <c r="G54" s="308">
        <f t="shared" si="4"/>
        <v>0</v>
      </c>
      <c r="H54" s="308">
        <f t="shared" si="4"/>
        <v>100</v>
      </c>
      <c r="I54" s="248">
        <v>50</v>
      </c>
      <c r="J54" s="308"/>
      <c r="K54" s="308">
        <v>0</v>
      </c>
      <c r="L54" s="251">
        <f>'[2]Вед. 2019 (прил 4)'!G63</f>
        <v>20</v>
      </c>
    </row>
    <row r="55" spans="1:18" ht="18" customHeight="1">
      <c r="A55" s="534" t="s">
        <v>30</v>
      </c>
      <c r="B55" s="296" t="s">
        <v>183</v>
      </c>
      <c r="C55" s="296"/>
      <c r="D55" s="296"/>
      <c r="E55" s="246"/>
      <c r="F55" s="247">
        <v>100</v>
      </c>
      <c r="G55" s="247"/>
      <c r="H55" s="247">
        <v>100</v>
      </c>
      <c r="I55" s="314" t="e">
        <f>#REF!+#REF!+I62+I56+I74+I71</f>
        <v>#REF!</v>
      </c>
      <c r="J55" s="314" t="e">
        <f>#REF!+#REF!+J62+J56+J74+J71</f>
        <v>#REF!</v>
      </c>
      <c r="K55" s="314" t="e">
        <f>#REF!+#REF!+K62+K56+K74+K71</f>
        <v>#REF!</v>
      </c>
      <c r="L55" s="303">
        <f>L62+L59+L74+L71+L77+L65+L80+L68+L56+L83</f>
        <v>2596.6</v>
      </c>
    </row>
    <row r="56" spans="1:18" ht="21.75" customHeight="1">
      <c r="A56" s="534" t="s">
        <v>256</v>
      </c>
      <c r="B56" s="296" t="s">
        <v>183</v>
      </c>
      <c r="C56" s="296" t="s">
        <v>471</v>
      </c>
      <c r="D56" s="296"/>
      <c r="E56" s="246"/>
      <c r="F56" s="247">
        <f>F58</f>
        <v>70</v>
      </c>
      <c r="G56" s="247">
        <f t="shared" ref="G56:L56" si="5">G58</f>
        <v>0</v>
      </c>
      <c r="H56" s="247">
        <f t="shared" si="5"/>
        <v>20</v>
      </c>
      <c r="I56" s="302">
        <f t="shared" si="5"/>
        <v>60</v>
      </c>
      <c r="J56" s="302">
        <f t="shared" si="5"/>
        <v>30</v>
      </c>
      <c r="K56" s="302">
        <f t="shared" si="5"/>
        <v>60</v>
      </c>
      <c r="L56" s="303">
        <f t="shared" si="5"/>
        <v>72</v>
      </c>
    </row>
    <row r="57" spans="1:18" ht="17.25" customHeight="1">
      <c r="A57" s="542" t="s">
        <v>346</v>
      </c>
      <c r="B57" s="246" t="s">
        <v>183</v>
      </c>
      <c r="C57" s="246" t="s">
        <v>471</v>
      </c>
      <c r="D57" s="246" t="s">
        <v>345</v>
      </c>
      <c r="E57" s="246"/>
      <c r="F57" s="247">
        <v>70</v>
      </c>
      <c r="G57" s="247"/>
      <c r="H57" s="247">
        <v>20</v>
      </c>
      <c r="I57" s="248">
        <v>60</v>
      </c>
      <c r="J57" s="259">
        <v>30</v>
      </c>
      <c r="K57" s="260">
        <v>60</v>
      </c>
      <c r="L57" s="251">
        <f>L58</f>
        <v>72</v>
      </c>
    </row>
    <row r="58" spans="1:18" ht="24">
      <c r="A58" s="542" t="s">
        <v>348</v>
      </c>
      <c r="B58" s="246" t="s">
        <v>183</v>
      </c>
      <c r="C58" s="246" t="s">
        <v>471</v>
      </c>
      <c r="D58" s="246" t="s">
        <v>347</v>
      </c>
      <c r="E58" s="246"/>
      <c r="F58" s="247">
        <v>70</v>
      </c>
      <c r="G58" s="247"/>
      <c r="H58" s="247">
        <v>20</v>
      </c>
      <c r="I58" s="248">
        <v>60</v>
      </c>
      <c r="J58" s="259">
        <v>30</v>
      </c>
      <c r="K58" s="260">
        <v>60</v>
      </c>
      <c r="L58" s="251">
        <f>'[2]Вед. 2019 (прил 4)'!G30</f>
        <v>72</v>
      </c>
    </row>
    <row r="59" spans="1:18">
      <c r="A59" s="534" t="s">
        <v>396</v>
      </c>
      <c r="B59" s="296" t="s">
        <v>183</v>
      </c>
      <c r="C59" s="296" t="s">
        <v>468</v>
      </c>
      <c r="D59" s="296"/>
      <c r="E59" s="296"/>
      <c r="F59" s="297" t="e">
        <f>F61</f>
        <v>#REF!</v>
      </c>
      <c r="G59" s="297" t="e">
        <f t="shared" ref="G59:L59" si="6">G61</f>
        <v>#REF!</v>
      </c>
      <c r="H59" s="297" t="e">
        <f t="shared" si="6"/>
        <v>#REF!</v>
      </c>
      <c r="I59" s="302">
        <f t="shared" si="6"/>
        <v>400</v>
      </c>
      <c r="J59" s="302">
        <f t="shared" si="6"/>
        <v>323.89999999999998</v>
      </c>
      <c r="K59" s="302">
        <f t="shared" si="6"/>
        <v>400</v>
      </c>
      <c r="L59" s="303">
        <f t="shared" si="6"/>
        <v>947.3</v>
      </c>
    </row>
    <row r="60" spans="1:18" ht="60">
      <c r="A60" s="517" t="s">
        <v>341</v>
      </c>
      <c r="B60" s="246" t="s">
        <v>183</v>
      </c>
      <c r="C60" s="246" t="s">
        <v>468</v>
      </c>
      <c r="D60" s="246" t="s">
        <v>340</v>
      </c>
      <c r="E60" s="246"/>
      <c r="F60" s="247" t="e">
        <f>#REF!+F61</f>
        <v>#REF!</v>
      </c>
      <c r="G60" s="247" t="e">
        <f>#REF!+G61</f>
        <v>#REF!</v>
      </c>
      <c r="H60" s="247" t="e">
        <f>#REF!+H61</f>
        <v>#REF!</v>
      </c>
      <c r="I60" s="248">
        <v>400</v>
      </c>
      <c r="J60" s="247">
        <v>323.89999999999998</v>
      </c>
      <c r="K60" s="247">
        <v>400</v>
      </c>
      <c r="L60" s="251">
        <f>L61</f>
        <v>947.3</v>
      </c>
    </row>
    <row r="61" spans="1:18" ht="22.5" customHeight="1">
      <c r="A61" s="244" t="s">
        <v>306</v>
      </c>
      <c r="B61" s="246" t="s">
        <v>183</v>
      </c>
      <c r="C61" s="246" t="s">
        <v>468</v>
      </c>
      <c r="D61" s="246" t="s">
        <v>253</v>
      </c>
      <c r="E61" s="246"/>
      <c r="F61" s="247" t="e">
        <f>#REF!+F74</f>
        <v>#REF!</v>
      </c>
      <c r="G61" s="247" t="e">
        <f>#REF!+G74</f>
        <v>#REF!</v>
      </c>
      <c r="H61" s="247" t="e">
        <f>#REF!+H74</f>
        <v>#REF!</v>
      </c>
      <c r="I61" s="248">
        <v>400</v>
      </c>
      <c r="J61" s="247">
        <v>323.89999999999998</v>
      </c>
      <c r="K61" s="247">
        <v>400</v>
      </c>
      <c r="L61" s="251">
        <f>'[2]Вед. 2019 (прил 4)'!G70</f>
        <v>947.3</v>
      </c>
    </row>
    <row r="62" spans="1:18" ht="27" customHeight="1">
      <c r="A62" s="534" t="s">
        <v>395</v>
      </c>
      <c r="B62" s="296" t="s">
        <v>183</v>
      </c>
      <c r="C62" s="296" t="s">
        <v>474</v>
      </c>
      <c r="D62" s="296"/>
      <c r="E62" s="296"/>
      <c r="F62" s="297" t="e">
        <f>F64</f>
        <v>#REF!</v>
      </c>
      <c r="G62" s="297" t="e">
        <f t="shared" ref="G62:L62" si="7">G64</f>
        <v>#REF!</v>
      </c>
      <c r="H62" s="297" t="e">
        <f t="shared" si="7"/>
        <v>#REF!</v>
      </c>
      <c r="I62" s="302">
        <f t="shared" si="7"/>
        <v>400</v>
      </c>
      <c r="J62" s="302">
        <f t="shared" si="7"/>
        <v>323.89999999999998</v>
      </c>
      <c r="K62" s="302">
        <f t="shared" si="7"/>
        <v>400</v>
      </c>
      <c r="L62" s="303">
        <f t="shared" si="7"/>
        <v>1274.8</v>
      </c>
    </row>
    <row r="63" spans="1:18" ht="60">
      <c r="A63" s="517" t="s">
        <v>341</v>
      </c>
      <c r="B63" s="246" t="s">
        <v>183</v>
      </c>
      <c r="C63" s="246" t="s">
        <v>474</v>
      </c>
      <c r="D63" s="246" t="s">
        <v>340</v>
      </c>
      <c r="E63" s="246"/>
      <c r="F63" s="247" t="e">
        <f>#REF!+F64</f>
        <v>#REF!</v>
      </c>
      <c r="G63" s="247" t="e">
        <f>#REF!+G64</f>
        <v>#REF!</v>
      </c>
      <c r="H63" s="247" t="e">
        <f>#REF!+H64</f>
        <v>#REF!</v>
      </c>
      <c r="I63" s="248">
        <v>400</v>
      </c>
      <c r="J63" s="247">
        <v>323.89999999999998</v>
      </c>
      <c r="K63" s="247">
        <v>400</v>
      </c>
      <c r="L63" s="251">
        <f>L64</f>
        <v>1274.8</v>
      </c>
      <c r="R63" s="282"/>
    </row>
    <row r="64" spans="1:18" ht="50.25" customHeight="1">
      <c r="A64" s="244" t="s">
        <v>306</v>
      </c>
      <c r="B64" s="246" t="s">
        <v>183</v>
      </c>
      <c r="C64" s="246" t="s">
        <v>474</v>
      </c>
      <c r="D64" s="246" t="s">
        <v>253</v>
      </c>
      <c r="E64" s="246"/>
      <c r="F64" s="247" t="e">
        <f>#REF!+F56</f>
        <v>#REF!</v>
      </c>
      <c r="G64" s="247" t="e">
        <f>#REF!+G56</f>
        <v>#REF!</v>
      </c>
      <c r="H64" s="247" t="e">
        <f>#REF!+H56</f>
        <v>#REF!</v>
      </c>
      <c r="I64" s="248">
        <v>400</v>
      </c>
      <c r="J64" s="247">
        <v>323.89999999999998</v>
      </c>
      <c r="K64" s="247">
        <v>400</v>
      </c>
      <c r="L64" s="251">
        <f>'[2]Вед. 2019 (прил 4)'!G73</f>
        <v>1274.8</v>
      </c>
    </row>
    <row r="65" spans="1:12" ht="27" customHeight="1">
      <c r="A65" s="534" t="s">
        <v>441</v>
      </c>
      <c r="B65" s="296" t="s">
        <v>183</v>
      </c>
      <c r="C65" s="296" t="s">
        <v>469</v>
      </c>
      <c r="D65" s="296"/>
      <c r="E65" s="246"/>
      <c r="F65" s="247">
        <f>F67</f>
        <v>70</v>
      </c>
      <c r="G65" s="247">
        <f t="shared" ref="G65:L65" si="8">G67</f>
        <v>0</v>
      </c>
      <c r="H65" s="247">
        <f t="shared" si="8"/>
        <v>20</v>
      </c>
      <c r="I65" s="302">
        <f t="shared" si="8"/>
        <v>60</v>
      </c>
      <c r="J65" s="302">
        <f t="shared" si="8"/>
        <v>30</v>
      </c>
      <c r="K65" s="302">
        <f t="shared" si="8"/>
        <v>60</v>
      </c>
      <c r="L65" s="303">
        <f t="shared" si="8"/>
        <v>35</v>
      </c>
    </row>
    <row r="66" spans="1:12" ht="30.75" customHeight="1">
      <c r="A66" s="517" t="s">
        <v>341</v>
      </c>
      <c r="B66" s="246" t="s">
        <v>183</v>
      </c>
      <c r="C66" s="246" t="s">
        <v>469</v>
      </c>
      <c r="D66" s="246" t="s">
        <v>340</v>
      </c>
      <c r="E66" s="246"/>
      <c r="F66" s="247">
        <v>70</v>
      </c>
      <c r="G66" s="247"/>
      <c r="H66" s="247">
        <v>20</v>
      </c>
      <c r="I66" s="248">
        <v>60</v>
      </c>
      <c r="J66" s="259">
        <v>30</v>
      </c>
      <c r="K66" s="260">
        <v>60</v>
      </c>
      <c r="L66" s="251">
        <f>L67</f>
        <v>35</v>
      </c>
    </row>
    <row r="67" spans="1:12" ht="36">
      <c r="A67" s="244" t="s">
        <v>306</v>
      </c>
      <c r="B67" s="246" t="s">
        <v>183</v>
      </c>
      <c r="C67" s="246" t="s">
        <v>469</v>
      </c>
      <c r="D67" s="246" t="s">
        <v>253</v>
      </c>
      <c r="E67" s="246"/>
      <c r="F67" s="247">
        <v>70</v>
      </c>
      <c r="G67" s="247"/>
      <c r="H67" s="247">
        <v>20</v>
      </c>
      <c r="I67" s="248">
        <v>60</v>
      </c>
      <c r="J67" s="259">
        <v>30</v>
      </c>
      <c r="K67" s="260">
        <v>60</v>
      </c>
      <c r="L67" s="251">
        <f>'[2]Вед. 2019 (прил 4)'!G76</f>
        <v>35</v>
      </c>
    </row>
    <row r="68" spans="1:12" ht="30.75" customHeight="1">
      <c r="A68" s="300" t="s">
        <v>536</v>
      </c>
      <c r="B68" s="296" t="s">
        <v>183</v>
      </c>
      <c r="C68" s="296" t="s">
        <v>537</v>
      </c>
      <c r="D68" s="404"/>
      <c r="E68" s="296"/>
      <c r="F68" s="247"/>
      <c r="G68" s="247"/>
      <c r="H68" s="247"/>
      <c r="I68" s="248"/>
      <c r="J68" s="403"/>
      <c r="K68" s="260"/>
      <c r="L68" s="303">
        <f>L69</f>
        <v>0</v>
      </c>
    </row>
    <row r="69" spans="1:12" ht="30" customHeight="1">
      <c r="A69" s="517" t="s">
        <v>341</v>
      </c>
      <c r="B69" s="246" t="s">
        <v>183</v>
      </c>
      <c r="C69" s="246" t="s">
        <v>537</v>
      </c>
      <c r="D69" s="405">
        <v>200</v>
      </c>
      <c r="E69" s="246" t="s">
        <v>340</v>
      </c>
      <c r="F69" s="247"/>
      <c r="G69" s="247"/>
      <c r="H69" s="247"/>
      <c r="I69" s="248"/>
      <c r="J69" s="403"/>
      <c r="K69" s="260"/>
      <c r="L69" s="251">
        <f>L70</f>
        <v>0</v>
      </c>
    </row>
    <row r="70" spans="1:12" ht="30" hidden="1" customHeight="1">
      <c r="A70" s="244" t="s">
        <v>306</v>
      </c>
      <c r="B70" s="246" t="s">
        <v>183</v>
      </c>
      <c r="C70" s="246" t="s">
        <v>537</v>
      </c>
      <c r="D70" s="405">
        <v>240</v>
      </c>
      <c r="E70" s="246" t="s">
        <v>253</v>
      </c>
      <c r="F70" s="247"/>
      <c r="G70" s="247"/>
      <c r="H70" s="247"/>
      <c r="I70" s="248"/>
      <c r="J70" s="403"/>
      <c r="K70" s="260"/>
      <c r="L70" s="251">
        <f>'[2]Вед. 2019 (прил 4)'!G79</f>
        <v>0</v>
      </c>
    </row>
    <row r="71" spans="1:12" ht="30" hidden="1" customHeight="1">
      <c r="A71" s="534" t="s">
        <v>529</v>
      </c>
      <c r="B71" s="296" t="s">
        <v>183</v>
      </c>
      <c r="C71" s="296" t="s">
        <v>472</v>
      </c>
      <c r="D71" s="296"/>
      <c r="E71" s="246"/>
      <c r="F71" s="247"/>
      <c r="G71" s="247"/>
      <c r="H71" s="247"/>
      <c r="I71" s="317">
        <f>I73</f>
        <v>170</v>
      </c>
      <c r="J71" s="317">
        <f>J73</f>
        <v>150</v>
      </c>
      <c r="K71" s="317">
        <f>K73</f>
        <v>170</v>
      </c>
      <c r="L71" s="318">
        <f>L73</f>
        <v>12</v>
      </c>
    </row>
    <row r="72" spans="1:12" ht="30" hidden="1" customHeight="1">
      <c r="A72" s="517" t="s">
        <v>341</v>
      </c>
      <c r="B72" s="263" t="s">
        <v>183</v>
      </c>
      <c r="C72" s="246" t="s">
        <v>472</v>
      </c>
      <c r="D72" s="263" t="s">
        <v>340</v>
      </c>
      <c r="E72" s="246"/>
      <c r="F72" s="247"/>
      <c r="G72" s="247"/>
      <c r="H72" s="247"/>
      <c r="I72" s="268">
        <v>170</v>
      </c>
      <c r="J72" s="247">
        <v>150</v>
      </c>
      <c r="K72" s="247">
        <v>170</v>
      </c>
      <c r="L72" s="251">
        <f>L73</f>
        <v>12</v>
      </c>
    </row>
    <row r="73" spans="1:12" ht="36">
      <c r="A73" s="244" t="s">
        <v>306</v>
      </c>
      <c r="B73" s="263" t="s">
        <v>183</v>
      </c>
      <c r="C73" s="246" t="s">
        <v>472</v>
      </c>
      <c r="D73" s="263" t="s">
        <v>253</v>
      </c>
      <c r="E73" s="246"/>
      <c r="F73" s="247"/>
      <c r="G73" s="247"/>
      <c r="H73" s="247"/>
      <c r="I73" s="268">
        <v>170</v>
      </c>
      <c r="J73" s="247">
        <v>150</v>
      </c>
      <c r="K73" s="247">
        <v>170</v>
      </c>
      <c r="L73" s="251">
        <f>'[2]Вед. 2019 (прил 4)'!G82</f>
        <v>12</v>
      </c>
    </row>
    <row r="74" spans="1:12" ht="30.75" customHeight="1">
      <c r="A74" s="534" t="s">
        <v>455</v>
      </c>
      <c r="B74" s="296" t="s">
        <v>183</v>
      </c>
      <c r="C74" s="296" t="s">
        <v>470</v>
      </c>
      <c r="D74" s="296"/>
      <c r="E74" s="296"/>
      <c r="F74" s="297" t="e">
        <f>F76+F87+#REF!+F88</f>
        <v>#REF!</v>
      </c>
      <c r="G74" s="297" t="e">
        <f>G76+G87+#REF!+G88</f>
        <v>#REF!</v>
      </c>
      <c r="H74" s="297" t="e">
        <f>H76+H87+#REF!+H88</f>
        <v>#REF!</v>
      </c>
      <c r="I74" s="302">
        <f>I76</f>
        <v>92</v>
      </c>
      <c r="J74" s="302">
        <f>J76</f>
        <v>48.2</v>
      </c>
      <c r="K74" s="302">
        <f>K76</f>
        <v>92</v>
      </c>
      <c r="L74" s="303">
        <f>L76</f>
        <v>80</v>
      </c>
    </row>
    <row r="75" spans="1:12" ht="31.5" customHeight="1">
      <c r="A75" s="517" t="s">
        <v>341</v>
      </c>
      <c r="B75" s="246" t="s">
        <v>183</v>
      </c>
      <c r="C75" s="246" t="s">
        <v>470</v>
      </c>
      <c r="D75" s="246" t="s">
        <v>340</v>
      </c>
      <c r="E75" s="246"/>
      <c r="F75" s="247"/>
      <c r="G75" s="247"/>
      <c r="H75" s="247"/>
      <c r="I75" s="248">
        <v>92</v>
      </c>
      <c r="J75" s="247">
        <v>48.2</v>
      </c>
      <c r="K75" s="247">
        <v>92</v>
      </c>
      <c r="L75" s="251">
        <f>L76</f>
        <v>80</v>
      </c>
    </row>
    <row r="76" spans="1:12" ht="51" customHeight="1">
      <c r="A76" s="244" t="s">
        <v>306</v>
      </c>
      <c r="B76" s="246" t="s">
        <v>183</v>
      </c>
      <c r="C76" s="246" t="s">
        <v>470</v>
      </c>
      <c r="D76" s="246" t="s">
        <v>253</v>
      </c>
      <c r="E76" s="246"/>
      <c r="F76" s="247"/>
      <c r="G76" s="247"/>
      <c r="H76" s="247"/>
      <c r="I76" s="248">
        <v>92</v>
      </c>
      <c r="J76" s="247">
        <v>48.2</v>
      </c>
      <c r="K76" s="247">
        <v>92</v>
      </c>
      <c r="L76" s="251">
        <f>'[2]Вед. 2019 (прил 4)'!G85</f>
        <v>80</v>
      </c>
    </row>
    <row r="77" spans="1:12" ht="35.25" customHeight="1">
      <c r="A77" s="534" t="s">
        <v>397</v>
      </c>
      <c r="B77" s="296" t="s">
        <v>183</v>
      </c>
      <c r="C77" s="296" t="s">
        <v>473</v>
      </c>
      <c r="D77" s="296"/>
      <c r="E77" s="296"/>
      <c r="F77" s="297" t="e">
        <f>F79+F91+#REF!+#REF!</f>
        <v>#REF!</v>
      </c>
      <c r="G77" s="297" t="e">
        <f>G79+G91+#REF!+#REF!</f>
        <v>#REF!</v>
      </c>
      <c r="H77" s="297" t="e">
        <f>H79+H91+#REF!+#REF!</f>
        <v>#REF!</v>
      </c>
      <c r="I77" s="302">
        <f>I79</f>
        <v>92</v>
      </c>
      <c r="J77" s="302">
        <f>J79</f>
        <v>48.2</v>
      </c>
      <c r="K77" s="302">
        <f>K79</f>
        <v>92</v>
      </c>
      <c r="L77" s="303">
        <f>L79</f>
        <v>6</v>
      </c>
    </row>
    <row r="78" spans="1:12" ht="27.75" customHeight="1">
      <c r="A78" s="517" t="s">
        <v>341</v>
      </c>
      <c r="B78" s="246" t="s">
        <v>183</v>
      </c>
      <c r="C78" s="246" t="s">
        <v>473</v>
      </c>
      <c r="D78" s="246" t="s">
        <v>340</v>
      </c>
      <c r="E78" s="246"/>
      <c r="F78" s="247"/>
      <c r="G78" s="247"/>
      <c r="H78" s="247"/>
      <c r="I78" s="248">
        <v>92</v>
      </c>
      <c r="J78" s="247">
        <v>48.2</v>
      </c>
      <c r="K78" s="247">
        <v>92</v>
      </c>
      <c r="L78" s="251">
        <f>L79</f>
        <v>6</v>
      </c>
    </row>
    <row r="79" spans="1:12" ht="36">
      <c r="A79" s="244" t="s">
        <v>306</v>
      </c>
      <c r="B79" s="246" t="s">
        <v>183</v>
      </c>
      <c r="C79" s="246" t="s">
        <v>473</v>
      </c>
      <c r="D79" s="246" t="s">
        <v>253</v>
      </c>
      <c r="E79" s="246"/>
      <c r="F79" s="247"/>
      <c r="G79" s="247"/>
      <c r="H79" s="247"/>
      <c r="I79" s="248">
        <v>92</v>
      </c>
      <c r="J79" s="247">
        <v>48.2</v>
      </c>
      <c r="K79" s="247">
        <v>92</v>
      </c>
      <c r="L79" s="251">
        <f>'[2]Вед. 2019 (прил 4)'!G88</f>
        <v>6</v>
      </c>
    </row>
    <row r="80" spans="1:12" ht="26.25" customHeight="1">
      <c r="A80" s="300" t="s">
        <v>528</v>
      </c>
      <c r="B80" s="296" t="s">
        <v>183</v>
      </c>
      <c r="C80" s="296" t="s">
        <v>530</v>
      </c>
      <c r="D80" s="296"/>
      <c r="E80" s="296" t="s">
        <v>253</v>
      </c>
      <c r="F80" s="247"/>
      <c r="G80" s="247"/>
      <c r="H80" s="247"/>
      <c r="I80" s="393"/>
      <c r="J80" s="394"/>
      <c r="K80" s="394"/>
      <c r="L80" s="303">
        <f>L81</f>
        <v>162.30000000000001</v>
      </c>
    </row>
    <row r="81" spans="1:12" ht="27.75" customHeight="1">
      <c r="A81" s="517" t="s">
        <v>341</v>
      </c>
      <c r="B81" s="246" t="s">
        <v>183</v>
      </c>
      <c r="C81" s="246" t="s">
        <v>473</v>
      </c>
      <c r="D81" s="246" t="s">
        <v>340</v>
      </c>
      <c r="E81" s="246" t="s">
        <v>340</v>
      </c>
      <c r="F81" s="247"/>
      <c r="G81" s="247"/>
      <c r="H81" s="247"/>
      <c r="I81" s="393"/>
      <c r="J81" s="394"/>
      <c r="K81" s="394"/>
      <c r="L81" s="251">
        <f>L82</f>
        <v>162.30000000000001</v>
      </c>
    </row>
    <row r="82" spans="1:12" ht="27.75" customHeight="1">
      <c r="A82" s="523" t="s">
        <v>306</v>
      </c>
      <c r="B82" s="263" t="s">
        <v>183</v>
      </c>
      <c r="C82" s="263" t="s">
        <v>473</v>
      </c>
      <c r="D82" s="263" t="s">
        <v>253</v>
      </c>
      <c r="E82" s="263" t="s">
        <v>253</v>
      </c>
      <c r="F82" s="264"/>
      <c r="G82" s="264"/>
      <c r="H82" s="264"/>
      <c r="I82" s="393"/>
      <c r="J82" s="394"/>
      <c r="K82" s="394"/>
      <c r="L82" s="269">
        <f>'[2]Вед. 2019 (прил 4)'!G91</f>
        <v>162.30000000000001</v>
      </c>
    </row>
    <row r="83" spans="1:12" ht="27.75" customHeight="1">
      <c r="A83" s="534" t="s">
        <v>516</v>
      </c>
      <c r="B83" s="307" t="s">
        <v>46</v>
      </c>
      <c r="C83" s="307" t="s">
        <v>517</v>
      </c>
      <c r="D83" s="307"/>
      <c r="E83" s="307"/>
      <c r="F83" s="310">
        <v>50</v>
      </c>
      <c r="G83" s="297"/>
      <c r="H83" s="297"/>
      <c r="I83" s="311" t="e">
        <f>#REF!</f>
        <v>#REF!</v>
      </c>
      <c r="J83" s="311" t="e">
        <f>#REF!</f>
        <v>#REF!</v>
      </c>
      <c r="K83" s="311">
        <v>5</v>
      </c>
      <c r="L83" s="312">
        <f>L84</f>
        <v>7.2</v>
      </c>
    </row>
    <row r="84" spans="1:12" ht="27.75" customHeight="1">
      <c r="A84" s="517" t="s">
        <v>341</v>
      </c>
      <c r="B84" s="246" t="s">
        <v>46</v>
      </c>
      <c r="C84" s="253" t="s">
        <v>517</v>
      </c>
      <c r="D84" s="246" t="s">
        <v>340</v>
      </c>
      <c r="E84" s="253" t="s">
        <v>77</v>
      </c>
      <c r="F84" s="255" t="e">
        <f>[3]роспись!H39</f>
        <v>#REF!</v>
      </c>
      <c r="G84" s="255"/>
      <c r="H84" s="255" t="s">
        <v>193</v>
      </c>
      <c r="I84" s="248" t="e">
        <f>I85+#REF!</f>
        <v>#REF!</v>
      </c>
      <c r="J84" s="248" t="e">
        <f>J85+#REF!</f>
        <v>#REF!</v>
      </c>
      <c r="K84" s="248" t="e">
        <f>K85+#REF!</f>
        <v>#REF!</v>
      </c>
      <c r="L84" s="251">
        <f>L85</f>
        <v>7.2</v>
      </c>
    </row>
    <row r="85" spans="1:12" ht="36.75" thickBot="1">
      <c r="A85" s="244" t="s">
        <v>306</v>
      </c>
      <c r="B85" s="246" t="s">
        <v>46</v>
      </c>
      <c r="C85" s="253" t="s">
        <v>517</v>
      </c>
      <c r="D85" s="246" t="s">
        <v>253</v>
      </c>
      <c r="E85" s="253" t="s">
        <v>77</v>
      </c>
      <c r="F85" s="255" t="e">
        <f>[3]роспись!H40</f>
        <v>#REF!</v>
      </c>
      <c r="G85" s="255"/>
      <c r="H85" s="255" t="s">
        <v>193</v>
      </c>
      <c r="I85" s="248" t="e">
        <f>#REF!+#REF!</f>
        <v>#REF!</v>
      </c>
      <c r="J85" s="248" t="e">
        <f>#REF!+#REF!</f>
        <v>#REF!</v>
      </c>
      <c r="K85" s="248" t="e">
        <f>#REF!+#REF!</f>
        <v>#REF!</v>
      </c>
      <c r="L85" s="251">
        <f>'[2]Вед. 2019 (прил 4)'!G94</f>
        <v>7.2</v>
      </c>
    </row>
    <row r="86" spans="1:12" ht="24">
      <c r="A86" s="530" t="s">
        <v>37</v>
      </c>
      <c r="B86" s="423" t="s">
        <v>31</v>
      </c>
      <c r="C86" s="423"/>
      <c r="D86" s="423"/>
      <c r="E86" s="423"/>
      <c r="F86" s="531" t="e">
        <f>F87+#REF!+F93+F103</f>
        <v>#REF!</v>
      </c>
      <c r="G86" s="531" t="e">
        <f>G87+#REF!+G93+G103</f>
        <v>#REF!</v>
      </c>
      <c r="H86" s="531" t="e">
        <f>H87+#REF!+H93+H103</f>
        <v>#REF!</v>
      </c>
      <c r="I86" s="531" t="e">
        <f>I87</f>
        <v>#REF!</v>
      </c>
      <c r="J86" s="531" t="e">
        <f>J87</f>
        <v>#REF!</v>
      </c>
      <c r="K86" s="531" t="e">
        <f>K87</f>
        <v>#REF!</v>
      </c>
      <c r="L86" s="533">
        <f>L87</f>
        <v>46.5</v>
      </c>
    </row>
    <row r="87" spans="1:12" ht="89.25" hidden="1" customHeight="1">
      <c r="A87" s="534" t="s">
        <v>180</v>
      </c>
      <c r="B87" s="296" t="s">
        <v>21</v>
      </c>
      <c r="C87" s="296"/>
      <c r="D87" s="296"/>
      <c r="E87" s="296"/>
      <c r="F87" s="297" t="e">
        <f>#REF!</f>
        <v>#REF!</v>
      </c>
      <c r="G87" s="297" t="e">
        <f>#REF!</f>
        <v>#REF!</v>
      </c>
      <c r="H87" s="297" t="e">
        <f>#REF!</f>
        <v>#REF!</v>
      </c>
      <c r="I87" s="297" t="e">
        <f>#REF!+I88</f>
        <v>#REF!</v>
      </c>
      <c r="J87" s="297" t="e">
        <f>#REF!+J88</f>
        <v>#REF!</v>
      </c>
      <c r="K87" s="297" t="e">
        <f>#REF!+K88</f>
        <v>#REF!</v>
      </c>
      <c r="L87" s="303">
        <f>L88+L91</f>
        <v>46.5</v>
      </c>
    </row>
    <row r="88" spans="1:12" ht="32.25" hidden="1" customHeight="1">
      <c r="A88" s="534" t="s">
        <v>404</v>
      </c>
      <c r="B88" s="296" t="s">
        <v>21</v>
      </c>
      <c r="C88" s="296" t="s">
        <v>475</v>
      </c>
      <c r="D88" s="296"/>
      <c r="E88" s="296"/>
      <c r="F88" s="297">
        <f>[3]роспись!H63</f>
        <v>5320</v>
      </c>
      <c r="G88" s="297">
        <v>3277.5</v>
      </c>
      <c r="H88" s="297">
        <v>5320</v>
      </c>
      <c r="I88" s="297">
        <f>I93</f>
        <v>18</v>
      </c>
      <c r="J88" s="297">
        <f>J93</f>
        <v>0</v>
      </c>
      <c r="K88" s="297">
        <f>K93</f>
        <v>18</v>
      </c>
      <c r="L88" s="303">
        <f>L89</f>
        <v>0</v>
      </c>
    </row>
    <row r="89" spans="1:12" ht="34.5" hidden="1" customHeight="1">
      <c r="A89" s="517" t="s">
        <v>341</v>
      </c>
      <c r="B89" s="246" t="s">
        <v>21</v>
      </c>
      <c r="C89" s="246" t="s">
        <v>475</v>
      </c>
      <c r="D89" s="246" t="s">
        <v>340</v>
      </c>
      <c r="E89" s="246"/>
      <c r="F89" s="247">
        <f>F93</f>
        <v>668</v>
      </c>
      <c r="G89" s="247">
        <f>G93</f>
        <v>480</v>
      </c>
      <c r="H89" s="247">
        <f>H93</f>
        <v>668</v>
      </c>
      <c r="I89" s="247">
        <v>18</v>
      </c>
      <c r="J89" s="247">
        <v>0</v>
      </c>
      <c r="K89" s="247">
        <v>18</v>
      </c>
      <c r="L89" s="251">
        <f>L90</f>
        <v>0</v>
      </c>
    </row>
    <row r="90" spans="1:12" ht="36">
      <c r="A90" s="244" t="s">
        <v>306</v>
      </c>
      <c r="B90" s="246" t="s">
        <v>21</v>
      </c>
      <c r="C90" s="246" t="s">
        <v>475</v>
      </c>
      <c r="D90" s="246" t="s">
        <v>253</v>
      </c>
      <c r="E90" s="246"/>
      <c r="F90" s="247">
        <f>F93</f>
        <v>668</v>
      </c>
      <c r="G90" s="247">
        <f>G93</f>
        <v>480</v>
      </c>
      <c r="H90" s="247">
        <f>H93</f>
        <v>668</v>
      </c>
      <c r="I90" s="247">
        <v>18</v>
      </c>
      <c r="J90" s="247">
        <v>0</v>
      </c>
      <c r="K90" s="247">
        <v>18</v>
      </c>
      <c r="L90" s="251">
        <f>'[2]Вед. 2019 (прил 4)'!G99</f>
        <v>0</v>
      </c>
    </row>
    <row r="91" spans="1:12" ht="33.75" customHeight="1">
      <c r="A91" s="534" t="s">
        <v>405</v>
      </c>
      <c r="B91" s="296" t="s">
        <v>21</v>
      </c>
      <c r="C91" s="296" t="s">
        <v>476</v>
      </c>
      <c r="D91" s="296"/>
      <c r="E91" s="296"/>
      <c r="F91" s="297" t="e">
        <f>[3]роспись!H66</f>
        <v>#REF!</v>
      </c>
      <c r="G91" s="297">
        <v>3277.5</v>
      </c>
      <c r="H91" s="297">
        <v>5320</v>
      </c>
      <c r="I91" s="297" t="e">
        <f>I103</f>
        <v>#REF!</v>
      </c>
      <c r="J91" s="297" t="e">
        <f>J103</f>
        <v>#REF!</v>
      </c>
      <c r="K91" s="297" t="e">
        <f>K103</f>
        <v>#REF!</v>
      </c>
      <c r="L91" s="303">
        <f>L92</f>
        <v>46.5</v>
      </c>
    </row>
    <row r="92" spans="1:12" ht="27.75" customHeight="1">
      <c r="A92" s="517" t="s">
        <v>341</v>
      </c>
      <c r="B92" s="246" t="s">
        <v>21</v>
      </c>
      <c r="C92" s="246" t="s">
        <v>476</v>
      </c>
      <c r="D92" s="246" t="s">
        <v>340</v>
      </c>
      <c r="E92" s="246"/>
      <c r="F92" s="247" t="e">
        <f>#REF!</f>
        <v>#REF!</v>
      </c>
      <c r="G92" s="247" t="e">
        <f>#REF!</f>
        <v>#REF!</v>
      </c>
      <c r="H92" s="247" t="e">
        <f>#REF!</f>
        <v>#REF!</v>
      </c>
      <c r="I92" s="247">
        <v>18</v>
      </c>
      <c r="J92" s="247">
        <v>0</v>
      </c>
      <c r="K92" s="247">
        <v>18</v>
      </c>
      <c r="L92" s="251">
        <f>L93</f>
        <v>46.5</v>
      </c>
    </row>
    <row r="93" spans="1:12" ht="21" customHeight="1" thickBot="1">
      <c r="A93" s="518" t="s">
        <v>306</v>
      </c>
      <c r="B93" s="519" t="s">
        <v>21</v>
      </c>
      <c r="C93" s="519" t="s">
        <v>476</v>
      </c>
      <c r="D93" s="519" t="s">
        <v>253</v>
      </c>
      <c r="E93" s="519"/>
      <c r="F93" s="521">
        <f>F102</f>
        <v>668</v>
      </c>
      <c r="G93" s="521">
        <f>G102</f>
        <v>480</v>
      </c>
      <c r="H93" s="521">
        <f>H102</f>
        <v>668</v>
      </c>
      <c r="I93" s="521">
        <v>18</v>
      </c>
      <c r="J93" s="521">
        <v>0</v>
      </c>
      <c r="K93" s="521">
        <v>18</v>
      </c>
      <c r="L93" s="522">
        <f>'[2]Вед. 2019 (прил 4)'!G102</f>
        <v>46.5</v>
      </c>
    </row>
    <row r="94" spans="1:12" ht="15.75" customHeight="1" thickBot="1">
      <c r="A94" s="543" t="s">
        <v>313</v>
      </c>
      <c r="B94" s="388" t="s">
        <v>314</v>
      </c>
      <c r="C94" s="388"/>
      <c r="D94" s="388"/>
      <c r="E94" s="388"/>
      <c r="F94" s="544"/>
      <c r="G94" s="544"/>
      <c r="H94" s="544"/>
      <c r="I94" s="389"/>
      <c r="J94" s="526"/>
      <c r="K94" s="526"/>
      <c r="L94" s="390">
        <f>L95+L102+L106</f>
        <v>34019.9</v>
      </c>
    </row>
    <row r="95" spans="1:12" ht="15.75" customHeight="1" thickBot="1">
      <c r="A95" s="320" t="s">
        <v>402</v>
      </c>
      <c r="B95" s="423" t="s">
        <v>399</v>
      </c>
      <c r="C95" s="423"/>
      <c r="D95" s="409"/>
      <c r="E95" s="421"/>
      <c r="F95" s="422">
        <f>[3]роспись!H63</f>
        <v>5320</v>
      </c>
      <c r="G95" s="422">
        <v>480</v>
      </c>
      <c r="H95" s="422">
        <v>668</v>
      </c>
      <c r="I95" s="410" t="e">
        <f>I99</f>
        <v>#REF!</v>
      </c>
      <c r="J95" s="410" t="e">
        <f>J99</f>
        <v>#REF!</v>
      </c>
      <c r="K95" s="410" t="e">
        <f>K99</f>
        <v>#REF!</v>
      </c>
      <c r="L95" s="411">
        <f>L99+L96</f>
        <v>140</v>
      </c>
    </row>
    <row r="96" spans="1:12" ht="15.75" customHeight="1">
      <c r="A96" s="301" t="s">
        <v>554</v>
      </c>
      <c r="B96" s="295" t="s">
        <v>399</v>
      </c>
      <c r="C96" s="295" t="s">
        <v>555</v>
      </c>
      <c r="D96" s="296"/>
      <c r="E96" s="246"/>
      <c r="F96" s="247"/>
      <c r="G96" s="247"/>
      <c r="H96" s="247"/>
      <c r="I96" s="297"/>
      <c r="J96" s="297"/>
      <c r="K96" s="297"/>
      <c r="L96" s="303">
        <f>L97</f>
        <v>140</v>
      </c>
    </row>
    <row r="97" spans="1:12" ht="54" customHeight="1">
      <c r="A97" s="399" t="s">
        <v>401</v>
      </c>
      <c r="B97" s="246" t="s">
        <v>399</v>
      </c>
      <c r="C97" s="246" t="s">
        <v>555</v>
      </c>
      <c r="D97" s="246" t="s">
        <v>345</v>
      </c>
      <c r="E97" s="246"/>
      <c r="F97" s="247"/>
      <c r="G97" s="247"/>
      <c r="H97" s="247"/>
      <c r="I97" s="297"/>
      <c r="J97" s="297"/>
      <c r="K97" s="297"/>
      <c r="L97" s="251">
        <f>L98</f>
        <v>140</v>
      </c>
    </row>
    <row r="98" spans="1:12" ht="36.75" hidden="1" customHeight="1">
      <c r="A98" s="245" t="s">
        <v>403</v>
      </c>
      <c r="B98" s="246" t="s">
        <v>399</v>
      </c>
      <c r="C98" s="246" t="s">
        <v>555</v>
      </c>
      <c r="D98" s="246" t="s">
        <v>400</v>
      </c>
      <c r="E98" s="246"/>
      <c r="F98" s="247"/>
      <c r="G98" s="247"/>
      <c r="H98" s="247"/>
      <c r="I98" s="297"/>
      <c r="J98" s="297"/>
      <c r="K98" s="297"/>
      <c r="L98" s="251">
        <f>'[2]Вед. 2019 (прил 4)'!G107</f>
        <v>140</v>
      </c>
    </row>
    <row r="99" spans="1:12" ht="23.25" hidden="1" customHeight="1">
      <c r="A99" s="330" t="s">
        <v>531</v>
      </c>
      <c r="B99" s="295" t="s">
        <v>399</v>
      </c>
      <c r="C99" s="295" t="s">
        <v>556</v>
      </c>
      <c r="D99" s="295"/>
      <c r="E99" s="295"/>
      <c r="F99" s="304" t="e">
        <f>F101</f>
        <v>#REF!</v>
      </c>
      <c r="G99" s="304">
        <f>G101</f>
        <v>459.2</v>
      </c>
      <c r="H99" s="304">
        <f>H101</f>
        <v>796</v>
      </c>
      <c r="I99" s="298" t="e">
        <f>I101+#REF!</f>
        <v>#REF!</v>
      </c>
      <c r="J99" s="298" t="e">
        <f>J101+#REF!</f>
        <v>#REF!</v>
      </c>
      <c r="K99" s="298" t="e">
        <f>K101+#REF!</f>
        <v>#REF!</v>
      </c>
      <c r="L99" s="299">
        <f>L100</f>
        <v>0</v>
      </c>
    </row>
    <row r="100" spans="1:12" ht="38.25" hidden="1" customHeight="1" thickBot="1">
      <c r="A100" s="399" t="s">
        <v>401</v>
      </c>
      <c r="B100" s="246" t="s">
        <v>399</v>
      </c>
      <c r="C100" s="246" t="s">
        <v>556</v>
      </c>
      <c r="D100" s="246" t="s">
        <v>345</v>
      </c>
      <c r="E100" s="246"/>
      <c r="F100" s="247" t="e">
        <f>[3]роспись!H64</f>
        <v>#REF!</v>
      </c>
      <c r="G100" s="247">
        <v>459.2</v>
      </c>
      <c r="H100" s="247">
        <v>796</v>
      </c>
      <c r="I100" s="248">
        <f>6469.6+600</f>
        <v>7069.6</v>
      </c>
      <c r="J100" s="259">
        <v>2772.6</v>
      </c>
      <c r="K100" s="260">
        <v>7069.6</v>
      </c>
      <c r="L100" s="251">
        <f>L101</f>
        <v>0</v>
      </c>
    </row>
    <row r="101" spans="1:12" ht="21" customHeight="1" thickBot="1">
      <c r="A101" s="245" t="s">
        <v>403</v>
      </c>
      <c r="B101" s="246" t="s">
        <v>399</v>
      </c>
      <c r="C101" s="246" t="s">
        <v>556</v>
      </c>
      <c r="D101" s="246" t="s">
        <v>400</v>
      </c>
      <c r="E101" s="246"/>
      <c r="F101" s="247" t="e">
        <f>[3]роспись!H65</f>
        <v>#REF!</v>
      </c>
      <c r="G101" s="247">
        <v>459.2</v>
      </c>
      <c r="H101" s="247">
        <v>796</v>
      </c>
      <c r="I101" s="248">
        <f>6469.6+600</f>
        <v>7069.6</v>
      </c>
      <c r="J101" s="259">
        <v>2772.6</v>
      </c>
      <c r="K101" s="260">
        <v>7069.6</v>
      </c>
      <c r="L101" s="251">
        <f>'[2]Вед. 2019 (прил 4)'!G110</f>
        <v>0</v>
      </c>
    </row>
    <row r="102" spans="1:12" ht="13.5" thickBot="1">
      <c r="A102" s="320" t="s">
        <v>224</v>
      </c>
      <c r="B102" s="321" t="s">
        <v>223</v>
      </c>
      <c r="C102" s="321"/>
      <c r="D102" s="321"/>
      <c r="E102" s="328"/>
      <c r="F102" s="329">
        <f>[3]роспись!H68</f>
        <v>668</v>
      </c>
      <c r="G102" s="329">
        <v>480</v>
      </c>
      <c r="H102" s="329">
        <v>668</v>
      </c>
      <c r="I102" s="322" t="e">
        <f>I103</f>
        <v>#REF!</v>
      </c>
      <c r="J102" s="322" t="e">
        <f>J103</f>
        <v>#REF!</v>
      </c>
      <c r="K102" s="322" t="e">
        <f>K103</f>
        <v>#REF!</v>
      </c>
      <c r="L102" s="323">
        <f>L103</f>
        <v>33833.9</v>
      </c>
    </row>
    <row r="103" spans="1:12" ht="29.25" customHeight="1">
      <c r="A103" s="330" t="s">
        <v>257</v>
      </c>
      <c r="B103" s="295" t="s">
        <v>223</v>
      </c>
      <c r="C103" s="296" t="s">
        <v>477</v>
      </c>
      <c r="D103" s="295"/>
      <c r="E103" s="295"/>
      <c r="F103" s="304">
        <f>F105</f>
        <v>796</v>
      </c>
      <c r="G103" s="304">
        <f>G105</f>
        <v>459.2</v>
      </c>
      <c r="H103" s="304">
        <f>H105</f>
        <v>796</v>
      </c>
      <c r="I103" s="298" t="e">
        <f>I105+#REF!</f>
        <v>#REF!</v>
      </c>
      <c r="J103" s="298" t="e">
        <f>J105+#REF!</f>
        <v>#REF!</v>
      </c>
      <c r="K103" s="298" t="e">
        <f>K105+#REF!</f>
        <v>#REF!</v>
      </c>
      <c r="L103" s="299">
        <f>L105</f>
        <v>33833.9</v>
      </c>
    </row>
    <row r="104" spans="1:12" ht="27.75" customHeight="1">
      <c r="A104" s="399" t="s">
        <v>341</v>
      </c>
      <c r="B104" s="246" t="s">
        <v>223</v>
      </c>
      <c r="C104" s="246" t="s">
        <v>477</v>
      </c>
      <c r="D104" s="246" t="s">
        <v>340</v>
      </c>
      <c r="E104" s="246"/>
      <c r="F104" s="247" t="e">
        <f>[3]роспись!H69</f>
        <v>#REF!</v>
      </c>
      <c r="G104" s="247">
        <v>459.2</v>
      </c>
      <c r="H104" s="247">
        <v>796</v>
      </c>
      <c r="I104" s="248">
        <f>6469.6+600</f>
        <v>7069.6</v>
      </c>
      <c r="J104" s="259">
        <v>2772.6</v>
      </c>
      <c r="K104" s="260">
        <v>7069.6</v>
      </c>
      <c r="L104" s="251">
        <f>L105</f>
        <v>33833.9</v>
      </c>
    </row>
    <row r="105" spans="1:12" ht="21" customHeight="1" thickBot="1">
      <c r="A105" s="245" t="s">
        <v>306</v>
      </c>
      <c r="B105" s="246" t="s">
        <v>223</v>
      </c>
      <c r="C105" s="246" t="s">
        <v>477</v>
      </c>
      <c r="D105" s="246" t="s">
        <v>253</v>
      </c>
      <c r="E105" s="246"/>
      <c r="F105" s="247">
        <f>[3]роспись!H70</f>
        <v>796</v>
      </c>
      <c r="G105" s="247">
        <v>459.2</v>
      </c>
      <c r="H105" s="247">
        <v>796</v>
      </c>
      <c r="I105" s="248">
        <f>6469.6+600</f>
        <v>7069.6</v>
      </c>
      <c r="J105" s="259">
        <v>2772.6</v>
      </c>
      <c r="K105" s="260">
        <v>7069.6</v>
      </c>
      <c r="L105" s="251">
        <f>'[2]Вед. 2019 (прил 4)'!G114</f>
        <v>33833.9</v>
      </c>
    </row>
    <row r="106" spans="1:12" ht="24.75" thickBot="1">
      <c r="A106" s="320" t="s">
        <v>452</v>
      </c>
      <c r="B106" s="321" t="s">
        <v>451</v>
      </c>
      <c r="C106" s="321"/>
      <c r="D106" s="321"/>
      <c r="E106" s="328"/>
      <c r="F106" s="329" t="e">
        <f>[3]роспись!H73</f>
        <v>#REF!</v>
      </c>
      <c r="G106" s="329">
        <v>480</v>
      </c>
      <c r="H106" s="329">
        <v>668</v>
      </c>
      <c r="I106" s="322" t="e">
        <f>I107</f>
        <v>#REF!</v>
      </c>
      <c r="J106" s="322" t="e">
        <f>J107</f>
        <v>#REF!</v>
      </c>
      <c r="K106" s="322" t="e">
        <f>K107</f>
        <v>#REF!</v>
      </c>
      <c r="L106" s="323">
        <f>L107</f>
        <v>46</v>
      </c>
    </row>
    <row r="107" spans="1:12" ht="29.25" customHeight="1">
      <c r="A107" s="330" t="s">
        <v>453</v>
      </c>
      <c r="B107" s="295" t="s">
        <v>451</v>
      </c>
      <c r="C107" s="296" t="s">
        <v>478</v>
      </c>
      <c r="D107" s="295"/>
      <c r="E107" s="295"/>
      <c r="F107" s="304">
        <f>F109</f>
        <v>204</v>
      </c>
      <c r="G107" s="304">
        <f>G109</f>
        <v>459.2</v>
      </c>
      <c r="H107" s="304">
        <f>H109</f>
        <v>796</v>
      </c>
      <c r="I107" s="298" t="e">
        <f>I109+I110</f>
        <v>#REF!</v>
      </c>
      <c r="J107" s="298" t="e">
        <f>J109+J110</f>
        <v>#REF!</v>
      </c>
      <c r="K107" s="298" t="e">
        <f>K109+K110</f>
        <v>#REF!</v>
      </c>
      <c r="L107" s="299">
        <f>L108</f>
        <v>46</v>
      </c>
    </row>
    <row r="108" spans="1:12" ht="27.75" customHeight="1">
      <c r="A108" s="399" t="s">
        <v>341</v>
      </c>
      <c r="B108" s="246" t="s">
        <v>451</v>
      </c>
      <c r="C108" s="246" t="s">
        <v>478</v>
      </c>
      <c r="D108" s="246" t="s">
        <v>340</v>
      </c>
      <c r="E108" s="246"/>
      <c r="F108" s="247" t="e">
        <f>[3]роспись!H74</f>
        <v>#REF!</v>
      </c>
      <c r="G108" s="247">
        <v>459.2</v>
      </c>
      <c r="H108" s="247">
        <v>796</v>
      </c>
      <c r="I108" s="248">
        <f>6469.6+600</f>
        <v>7069.6</v>
      </c>
      <c r="J108" s="259">
        <v>2772.6</v>
      </c>
      <c r="K108" s="260">
        <v>7069.6</v>
      </c>
      <c r="L108" s="251">
        <f>L109</f>
        <v>46</v>
      </c>
    </row>
    <row r="109" spans="1:12" ht="36.75" thickBot="1">
      <c r="A109" s="245" t="s">
        <v>306</v>
      </c>
      <c r="B109" s="246" t="s">
        <v>451</v>
      </c>
      <c r="C109" s="246" t="s">
        <v>478</v>
      </c>
      <c r="D109" s="246" t="s">
        <v>253</v>
      </c>
      <c r="E109" s="246"/>
      <c r="F109" s="247">
        <f>[3]роспись!H75</f>
        <v>204</v>
      </c>
      <c r="G109" s="247">
        <v>459.2</v>
      </c>
      <c r="H109" s="247">
        <v>796</v>
      </c>
      <c r="I109" s="248">
        <f>6469.6+600</f>
        <v>7069.6</v>
      </c>
      <c r="J109" s="259">
        <v>2772.6</v>
      </c>
      <c r="K109" s="260">
        <v>7069.6</v>
      </c>
      <c r="L109" s="251">
        <f>'[2]Вед. 2019 (прил 4)'!G118</f>
        <v>46</v>
      </c>
    </row>
    <row r="110" spans="1:12" ht="13.5" thickBot="1">
      <c r="A110" s="320" t="s">
        <v>32</v>
      </c>
      <c r="B110" s="321" t="s">
        <v>33</v>
      </c>
      <c r="C110" s="321"/>
      <c r="D110" s="321"/>
      <c r="E110" s="246"/>
      <c r="F110" s="247" t="e">
        <f>#REF!+#REF!+#REF!</f>
        <v>#REF!</v>
      </c>
      <c r="G110" s="247" t="e">
        <f>#REF!+#REF!+#REF!</f>
        <v>#REF!</v>
      </c>
      <c r="H110" s="247" t="e">
        <f>#REF!+#REF!+#REF!</f>
        <v>#REF!</v>
      </c>
      <c r="I110" s="322" t="e">
        <f>#REF!+I122+I132+I142</f>
        <v>#REF!</v>
      </c>
      <c r="J110" s="322" t="e">
        <f>#REF!+J122+J132+J142</f>
        <v>#REF!</v>
      </c>
      <c r="K110" s="322" t="e">
        <f>#REF!+K122+K132+K142</f>
        <v>#REF!</v>
      </c>
      <c r="L110" s="323">
        <f>L111</f>
        <v>50593.4</v>
      </c>
    </row>
    <row r="111" spans="1:12" ht="27.75" customHeight="1" thickBot="1">
      <c r="A111" s="335" t="s">
        <v>322</v>
      </c>
      <c r="B111" s="321" t="s">
        <v>80</v>
      </c>
      <c r="C111" s="321"/>
      <c r="D111" s="321"/>
      <c r="E111" s="321"/>
      <c r="F111" s="327"/>
      <c r="G111" s="327"/>
      <c r="H111" s="327"/>
      <c r="I111" s="322"/>
      <c r="J111" s="322"/>
      <c r="K111" s="322"/>
      <c r="L111" s="323">
        <f>L112+L122+L132+L142</f>
        <v>50593.4</v>
      </c>
    </row>
    <row r="112" spans="1:12" ht="43.5" customHeight="1" thickBot="1">
      <c r="A112" s="524" t="s">
        <v>407</v>
      </c>
      <c r="B112" s="409" t="s">
        <v>80</v>
      </c>
      <c r="C112" s="409" t="s">
        <v>479</v>
      </c>
      <c r="D112" s="409"/>
      <c r="E112" s="421"/>
      <c r="F112" s="422">
        <f>F113</f>
        <v>552.70000000000005</v>
      </c>
      <c r="G112" s="422">
        <f>G113</f>
        <v>79.8</v>
      </c>
      <c r="H112" s="422">
        <f>H113</f>
        <v>204</v>
      </c>
      <c r="I112" s="410" t="e">
        <f>I113+#REF!+#REF!</f>
        <v>#REF!</v>
      </c>
      <c r="J112" s="410" t="e">
        <f>J113+#REF!+#REF!</f>
        <v>#REF!</v>
      </c>
      <c r="K112" s="410" t="e">
        <f>K113+#REF!+#REF!</f>
        <v>#REF!</v>
      </c>
      <c r="L112" s="411">
        <f>L113+L116+L119</f>
        <v>16391.2</v>
      </c>
    </row>
    <row r="113" spans="1:12" ht="33" customHeight="1">
      <c r="A113" s="525" t="s">
        <v>258</v>
      </c>
      <c r="B113" s="354" t="s">
        <v>80</v>
      </c>
      <c r="C113" s="354" t="s">
        <v>480</v>
      </c>
      <c r="D113" s="354"/>
      <c r="E113" s="354"/>
      <c r="F113" s="513">
        <f>[3]роспись!H84</f>
        <v>552.70000000000005</v>
      </c>
      <c r="G113" s="513">
        <v>79.8</v>
      </c>
      <c r="H113" s="513">
        <v>204</v>
      </c>
      <c r="I113" s="514">
        <f>I115</f>
        <v>411.1</v>
      </c>
      <c r="J113" s="514">
        <f>J115</f>
        <v>0</v>
      </c>
      <c r="K113" s="514">
        <f>K115</f>
        <v>411.1</v>
      </c>
      <c r="L113" s="515">
        <f>L114</f>
        <v>14779.5</v>
      </c>
    </row>
    <row r="114" spans="1:12" ht="27" customHeight="1">
      <c r="A114" s="517" t="s">
        <v>341</v>
      </c>
      <c r="B114" s="246" t="s">
        <v>80</v>
      </c>
      <c r="C114" s="246" t="s">
        <v>480</v>
      </c>
      <c r="D114" s="246" t="s">
        <v>340</v>
      </c>
      <c r="E114" s="246"/>
      <c r="F114" s="247" t="e">
        <f t="shared" ref="F114:H114" si="9">F115</f>
        <v>#REF!</v>
      </c>
      <c r="G114" s="247" t="e">
        <f t="shared" si="9"/>
        <v>#REF!</v>
      </c>
      <c r="H114" s="247" t="e">
        <f t="shared" si="9"/>
        <v>#REF!</v>
      </c>
      <c r="I114" s="248">
        <v>411.1</v>
      </c>
      <c r="J114" s="249"/>
      <c r="K114" s="250">
        <v>411.1</v>
      </c>
      <c r="L114" s="251">
        <f>L115</f>
        <v>14779.5</v>
      </c>
    </row>
    <row r="115" spans="1:12" ht="36">
      <c r="A115" s="244" t="s">
        <v>306</v>
      </c>
      <c r="B115" s="246" t="s">
        <v>80</v>
      </c>
      <c r="C115" s="246" t="s">
        <v>480</v>
      </c>
      <c r="D115" s="246" t="s">
        <v>253</v>
      </c>
      <c r="E115" s="246"/>
      <c r="F115" s="247" t="e">
        <f>#REF!</f>
        <v>#REF!</v>
      </c>
      <c r="G115" s="247" t="e">
        <f>#REF!</f>
        <v>#REF!</v>
      </c>
      <c r="H115" s="247" t="e">
        <f>#REF!</f>
        <v>#REF!</v>
      </c>
      <c r="I115" s="248">
        <v>411.1</v>
      </c>
      <c r="J115" s="249"/>
      <c r="K115" s="250">
        <v>411.1</v>
      </c>
      <c r="L115" s="251">
        <f>'[2]Вед. 2019 (прил 4)'!G124</f>
        <v>14779.5</v>
      </c>
    </row>
    <row r="116" spans="1:12" ht="27" customHeight="1">
      <c r="A116" s="516" t="s">
        <v>532</v>
      </c>
      <c r="B116" s="402" t="s">
        <v>80</v>
      </c>
      <c r="C116" s="246" t="s">
        <v>543</v>
      </c>
      <c r="D116" s="402"/>
      <c r="E116" s="398"/>
      <c r="F116" s="247"/>
      <c r="G116" s="247"/>
      <c r="H116" s="247"/>
      <c r="I116" s="247"/>
      <c r="J116" s="247"/>
      <c r="K116" s="247"/>
      <c r="L116" s="303">
        <f>L117</f>
        <v>1229.8</v>
      </c>
    </row>
    <row r="117" spans="1:12" ht="27" customHeight="1">
      <c r="A117" s="517" t="s">
        <v>341</v>
      </c>
      <c r="B117" s="402" t="s">
        <v>80</v>
      </c>
      <c r="C117" s="246" t="s">
        <v>543</v>
      </c>
      <c r="D117" s="402" t="s">
        <v>340</v>
      </c>
      <c r="E117" s="402" t="s">
        <v>340</v>
      </c>
      <c r="F117" s="247"/>
      <c r="G117" s="247"/>
      <c r="H117" s="247"/>
      <c r="I117" s="247"/>
      <c r="J117" s="247"/>
      <c r="K117" s="247"/>
      <c r="L117" s="251">
        <f>L118</f>
        <v>1229.8</v>
      </c>
    </row>
    <row r="118" spans="1:12" ht="27" customHeight="1">
      <c r="A118" s="523" t="s">
        <v>306</v>
      </c>
      <c r="B118" s="401" t="s">
        <v>80</v>
      </c>
      <c r="C118" s="263" t="s">
        <v>543</v>
      </c>
      <c r="D118" s="401" t="s">
        <v>253</v>
      </c>
      <c r="E118" s="401" t="s">
        <v>253</v>
      </c>
      <c r="F118" s="264"/>
      <c r="G118" s="264"/>
      <c r="H118" s="264"/>
      <c r="I118" s="264"/>
      <c r="J118" s="264"/>
      <c r="K118" s="264"/>
      <c r="L118" s="269">
        <f>'[2]Вед. 2019 (прил 4)'!G127</f>
        <v>1229.8</v>
      </c>
    </row>
    <row r="119" spans="1:12" ht="27" customHeight="1">
      <c r="A119" s="300" t="s">
        <v>579</v>
      </c>
      <c r="B119" s="398" t="s">
        <v>80</v>
      </c>
      <c r="C119" s="296" t="s">
        <v>580</v>
      </c>
      <c r="D119" s="402"/>
      <c r="E119" s="402"/>
      <c r="F119" s="247"/>
      <c r="G119" s="247"/>
      <c r="H119" s="247"/>
      <c r="I119" s="247"/>
      <c r="J119" s="247"/>
      <c r="K119" s="247"/>
      <c r="L119" s="303">
        <f>L120</f>
        <v>381.9</v>
      </c>
    </row>
    <row r="120" spans="1:12" ht="27" customHeight="1">
      <c r="A120" s="517" t="s">
        <v>341</v>
      </c>
      <c r="B120" s="402" t="s">
        <v>80</v>
      </c>
      <c r="C120" s="246" t="s">
        <v>580</v>
      </c>
      <c r="D120" s="402" t="s">
        <v>340</v>
      </c>
      <c r="E120" s="402"/>
      <c r="F120" s="247"/>
      <c r="G120" s="247"/>
      <c r="H120" s="247"/>
      <c r="I120" s="247"/>
      <c r="J120" s="247"/>
      <c r="K120" s="247"/>
      <c r="L120" s="251">
        <f>L121</f>
        <v>381.9</v>
      </c>
    </row>
    <row r="121" spans="1:12" ht="36.75" thickBot="1">
      <c r="A121" s="244" t="s">
        <v>306</v>
      </c>
      <c r="B121" s="402" t="s">
        <v>80</v>
      </c>
      <c r="C121" s="246" t="s">
        <v>580</v>
      </c>
      <c r="D121" s="402" t="s">
        <v>253</v>
      </c>
      <c r="E121" s="520"/>
      <c r="F121" s="521"/>
      <c r="G121" s="521"/>
      <c r="H121" s="521"/>
      <c r="I121" s="521"/>
      <c r="J121" s="521"/>
      <c r="K121" s="521"/>
      <c r="L121" s="269">
        <f>'[2]Вед. 2019 (прил 4)'!G130</f>
        <v>381.9</v>
      </c>
    </row>
    <row r="122" spans="1:12" ht="17.25" customHeight="1" thickBot="1">
      <c r="A122" s="527" t="s">
        <v>263</v>
      </c>
      <c r="B122" s="388" t="s">
        <v>80</v>
      </c>
      <c r="C122" s="388" t="s">
        <v>481</v>
      </c>
      <c r="D122" s="388"/>
      <c r="E122" s="502"/>
      <c r="F122" s="503">
        <f>F123</f>
        <v>1077.7</v>
      </c>
      <c r="G122" s="503">
        <f>G123</f>
        <v>566.29999999999995</v>
      </c>
      <c r="H122" s="503">
        <f>H123</f>
        <v>1077.7</v>
      </c>
      <c r="I122" s="389">
        <f>I123++I126+I129</f>
        <v>6501.6</v>
      </c>
      <c r="J122" s="389">
        <f>J123++J126+J129</f>
        <v>4178.7000000000007</v>
      </c>
      <c r="K122" s="526">
        <f>K123++K126+K129</f>
        <v>6501.6</v>
      </c>
      <c r="L122" s="528">
        <f>L123++L126+L129</f>
        <v>11515.7</v>
      </c>
    </row>
    <row r="123" spans="1:12" ht="29.25" customHeight="1">
      <c r="A123" s="558" t="s">
        <v>264</v>
      </c>
      <c r="B123" s="559" t="s">
        <v>80</v>
      </c>
      <c r="C123" s="261" t="s">
        <v>482</v>
      </c>
      <c r="D123" s="559"/>
      <c r="E123" s="261"/>
      <c r="F123" s="261">
        <f t="shared" ref="F123:K123" si="10">F125</f>
        <v>1077.7</v>
      </c>
      <c r="G123" s="262">
        <f t="shared" si="10"/>
        <v>566.29999999999995</v>
      </c>
      <c r="H123" s="262">
        <f t="shared" si="10"/>
        <v>1077.7</v>
      </c>
      <c r="I123" s="560">
        <f t="shared" si="10"/>
        <v>1800</v>
      </c>
      <c r="J123" s="560">
        <f t="shared" si="10"/>
        <v>1632.4</v>
      </c>
      <c r="K123" s="560">
        <f t="shared" si="10"/>
        <v>1800</v>
      </c>
      <c r="L123" s="561">
        <f>L124</f>
        <v>700</v>
      </c>
    </row>
    <row r="124" spans="1:12" ht="28.5" customHeight="1">
      <c r="A124" s="399" t="s">
        <v>341</v>
      </c>
      <c r="B124" s="402" t="s">
        <v>80</v>
      </c>
      <c r="C124" s="246" t="s">
        <v>482</v>
      </c>
      <c r="D124" s="402" t="s">
        <v>340</v>
      </c>
      <c r="E124" s="246"/>
      <c r="F124" s="246" t="e">
        <f>[3]роспись!H78</f>
        <v>#REF!</v>
      </c>
      <c r="G124" s="247">
        <v>566.29999999999995</v>
      </c>
      <c r="H124" s="247">
        <v>1077.7</v>
      </c>
      <c r="I124" s="562">
        <v>1800</v>
      </c>
      <c r="J124" s="249">
        <v>1632.4</v>
      </c>
      <c r="K124" s="250">
        <v>1800</v>
      </c>
      <c r="L124" s="251">
        <f>L125</f>
        <v>700</v>
      </c>
    </row>
    <row r="125" spans="1:12" ht="36">
      <c r="A125" s="245" t="s">
        <v>306</v>
      </c>
      <c r="B125" s="402" t="s">
        <v>80</v>
      </c>
      <c r="C125" s="261" t="s">
        <v>482</v>
      </c>
      <c r="D125" s="402" t="s">
        <v>253</v>
      </c>
      <c r="E125" s="246"/>
      <c r="F125" s="246">
        <f>[3]роспись!H79</f>
        <v>1077.7</v>
      </c>
      <c r="G125" s="247">
        <v>566.29999999999995</v>
      </c>
      <c r="H125" s="247">
        <v>1077.7</v>
      </c>
      <c r="I125" s="562">
        <v>1800</v>
      </c>
      <c r="J125" s="249">
        <v>1632.4</v>
      </c>
      <c r="K125" s="250">
        <v>1800</v>
      </c>
      <c r="L125" s="251">
        <f>'[2]Вед. 2019 (прил 4)'!G134</f>
        <v>700</v>
      </c>
    </row>
    <row r="126" spans="1:12" ht="29.25" customHeight="1">
      <c r="A126" s="417" t="s">
        <v>81</v>
      </c>
      <c r="B126" s="402" t="s">
        <v>80</v>
      </c>
      <c r="C126" s="261" t="s">
        <v>483</v>
      </c>
      <c r="D126" s="402"/>
      <c r="E126" s="246"/>
      <c r="F126" s="247">
        <f>F132</f>
        <v>780.80000000000007</v>
      </c>
      <c r="G126" s="247">
        <f>G132</f>
        <v>457.5</v>
      </c>
      <c r="H126" s="247">
        <f>H132</f>
        <v>704.80000000000007</v>
      </c>
      <c r="I126" s="562">
        <f>I128</f>
        <v>1122</v>
      </c>
      <c r="J126" s="562">
        <f>J128</f>
        <v>475</v>
      </c>
      <c r="K126" s="562">
        <f>K128</f>
        <v>1122</v>
      </c>
      <c r="L126" s="563">
        <f>L127</f>
        <v>899.7</v>
      </c>
    </row>
    <row r="127" spans="1:12" ht="25.5" customHeight="1">
      <c r="A127" s="399" t="s">
        <v>341</v>
      </c>
      <c r="B127" s="402" t="s">
        <v>80</v>
      </c>
      <c r="C127" s="261" t="s">
        <v>483</v>
      </c>
      <c r="D127" s="402" t="s">
        <v>340</v>
      </c>
      <c r="E127" s="246"/>
      <c r="F127" s="247">
        <f>F129</f>
        <v>0</v>
      </c>
      <c r="G127" s="247">
        <f>G129</f>
        <v>0</v>
      </c>
      <c r="H127" s="247">
        <f>H129</f>
        <v>0</v>
      </c>
      <c r="I127" s="562">
        <v>1122</v>
      </c>
      <c r="J127" s="562">
        <v>475</v>
      </c>
      <c r="K127" s="562">
        <v>1122</v>
      </c>
      <c r="L127" s="564">
        <f>L128</f>
        <v>899.7</v>
      </c>
    </row>
    <row r="128" spans="1:12" ht="21" customHeight="1">
      <c r="A128" s="245" t="s">
        <v>306</v>
      </c>
      <c r="B128" s="402" t="s">
        <v>80</v>
      </c>
      <c r="C128" s="261" t="s">
        <v>483</v>
      </c>
      <c r="D128" s="402" t="s">
        <v>253</v>
      </c>
      <c r="E128" s="246"/>
      <c r="F128" s="247">
        <f>F131</f>
        <v>0</v>
      </c>
      <c r="G128" s="247">
        <f>G131</f>
        <v>0</v>
      </c>
      <c r="H128" s="247">
        <f>H131</f>
        <v>0</v>
      </c>
      <c r="I128" s="562">
        <v>1122</v>
      </c>
      <c r="J128" s="562">
        <v>475</v>
      </c>
      <c r="K128" s="562">
        <v>1122</v>
      </c>
      <c r="L128" s="564">
        <f>'[2]Вед. 2019 (прил 4)'!G137</f>
        <v>899.7</v>
      </c>
    </row>
    <row r="129" spans="1:12" ht="27" customHeight="1">
      <c r="A129" s="565" t="s">
        <v>621</v>
      </c>
      <c r="B129" s="402" t="s">
        <v>80</v>
      </c>
      <c r="C129" s="261" t="s">
        <v>484</v>
      </c>
      <c r="D129" s="402"/>
      <c r="E129" s="246"/>
      <c r="F129" s="247"/>
      <c r="G129" s="247"/>
      <c r="H129" s="247"/>
      <c r="I129" s="562">
        <f>I131</f>
        <v>3579.6</v>
      </c>
      <c r="J129" s="562">
        <f>J131</f>
        <v>2071.3000000000002</v>
      </c>
      <c r="K129" s="562">
        <f>K131</f>
        <v>3579.6</v>
      </c>
      <c r="L129" s="563">
        <f>L131</f>
        <v>9916</v>
      </c>
    </row>
    <row r="130" spans="1:12" ht="24" customHeight="1">
      <c r="A130" s="399" t="s">
        <v>341</v>
      </c>
      <c r="B130" s="401" t="s">
        <v>80</v>
      </c>
      <c r="C130" s="261" t="s">
        <v>484</v>
      </c>
      <c r="D130" s="402" t="s">
        <v>340</v>
      </c>
      <c r="E130" s="263"/>
      <c r="F130" s="264"/>
      <c r="G130" s="265"/>
      <c r="H130" s="265"/>
      <c r="I130" s="566">
        <v>3579.6</v>
      </c>
      <c r="J130" s="249">
        <v>2071.3000000000002</v>
      </c>
      <c r="K130" s="250">
        <v>3579.6</v>
      </c>
      <c r="L130" s="251">
        <f>L131</f>
        <v>9916</v>
      </c>
    </row>
    <row r="131" spans="1:12" ht="18.75" customHeight="1">
      <c r="A131" s="245" t="s">
        <v>306</v>
      </c>
      <c r="B131" s="401" t="s">
        <v>80</v>
      </c>
      <c r="C131" s="357" t="s">
        <v>484</v>
      </c>
      <c r="D131" s="402" t="s">
        <v>253</v>
      </c>
      <c r="E131" s="263"/>
      <c r="F131" s="264"/>
      <c r="G131" s="265"/>
      <c r="H131" s="265"/>
      <c r="I131" s="566">
        <v>3579.6</v>
      </c>
      <c r="J131" s="249">
        <v>2071.3000000000002</v>
      </c>
      <c r="K131" s="250">
        <v>3579.6</v>
      </c>
      <c r="L131" s="251">
        <f>'[2]Вед. 2019 (прил 4)'!G140</f>
        <v>9916</v>
      </c>
    </row>
    <row r="132" spans="1:12" ht="29.25" hidden="1" customHeight="1">
      <c r="A132" s="332" t="s">
        <v>265</v>
      </c>
      <c r="B132" s="355" t="s">
        <v>80</v>
      </c>
      <c r="C132" s="358" t="s">
        <v>488</v>
      </c>
      <c r="D132" s="356"/>
      <c r="E132" s="296"/>
      <c r="F132" s="297">
        <f>F133+F142</f>
        <v>780.80000000000007</v>
      </c>
      <c r="G132" s="297">
        <f>G133+G142</f>
        <v>457.5</v>
      </c>
      <c r="H132" s="297">
        <f>H133+H142</f>
        <v>704.80000000000007</v>
      </c>
      <c r="I132" s="322">
        <f>I133+I136</f>
        <v>571.6</v>
      </c>
      <c r="J132" s="322">
        <f>J133+J136</f>
        <v>100</v>
      </c>
      <c r="K132" s="322">
        <f>K133+K136</f>
        <v>571.6</v>
      </c>
      <c r="L132" s="323">
        <f>L133+L136+L139</f>
        <v>550</v>
      </c>
    </row>
    <row r="133" spans="1:12" ht="30" hidden="1" customHeight="1">
      <c r="A133" s="567" t="s">
        <v>266</v>
      </c>
      <c r="B133" s="559" t="s">
        <v>80</v>
      </c>
      <c r="C133" s="261" t="s">
        <v>485</v>
      </c>
      <c r="D133" s="559"/>
      <c r="E133" s="246"/>
      <c r="F133" s="247">
        <f t="shared" ref="F133:L133" si="11">F135</f>
        <v>552.70000000000005</v>
      </c>
      <c r="G133" s="247">
        <f t="shared" si="11"/>
        <v>356.1</v>
      </c>
      <c r="H133" s="247">
        <f t="shared" si="11"/>
        <v>552.70000000000005</v>
      </c>
      <c r="I133" s="560">
        <f t="shared" si="11"/>
        <v>150</v>
      </c>
      <c r="J133" s="560">
        <f t="shared" si="11"/>
        <v>100</v>
      </c>
      <c r="K133" s="560">
        <f t="shared" si="11"/>
        <v>150</v>
      </c>
      <c r="L133" s="561">
        <f t="shared" si="11"/>
        <v>0</v>
      </c>
    </row>
    <row r="134" spans="1:12" ht="32.25" hidden="1" customHeight="1">
      <c r="A134" s="399" t="s">
        <v>341</v>
      </c>
      <c r="B134" s="559" t="s">
        <v>80</v>
      </c>
      <c r="C134" s="261" t="s">
        <v>485</v>
      </c>
      <c r="D134" s="559" t="s">
        <v>340</v>
      </c>
      <c r="E134" s="246"/>
      <c r="F134" s="247" t="e">
        <f>[3]роспись!H83</f>
        <v>#REF!</v>
      </c>
      <c r="G134" s="247">
        <v>356.1</v>
      </c>
      <c r="H134" s="247">
        <v>552.70000000000005</v>
      </c>
      <c r="I134" s="560">
        <v>150</v>
      </c>
      <c r="J134" s="568">
        <v>100</v>
      </c>
      <c r="K134" s="569">
        <v>150</v>
      </c>
      <c r="L134" s="251">
        <f>L135</f>
        <v>0</v>
      </c>
    </row>
    <row r="135" spans="1:12" ht="32.25" customHeight="1">
      <c r="A135" s="245" t="s">
        <v>306</v>
      </c>
      <c r="B135" s="559" t="s">
        <v>80</v>
      </c>
      <c r="C135" s="261" t="s">
        <v>485</v>
      </c>
      <c r="D135" s="559" t="s">
        <v>253</v>
      </c>
      <c r="E135" s="246"/>
      <c r="F135" s="247">
        <f>[3]роспись!H84</f>
        <v>552.70000000000005</v>
      </c>
      <c r="G135" s="247">
        <v>356.1</v>
      </c>
      <c r="H135" s="247">
        <v>552.70000000000005</v>
      </c>
      <c r="I135" s="560">
        <v>150</v>
      </c>
      <c r="J135" s="568">
        <v>100</v>
      </c>
      <c r="K135" s="569">
        <v>150</v>
      </c>
      <c r="L135" s="251">
        <f>'[2]Вед. 2019 (прил 4)'!G144</f>
        <v>0</v>
      </c>
    </row>
    <row r="136" spans="1:12" ht="29.25" customHeight="1">
      <c r="A136" s="570" t="s">
        <v>408</v>
      </c>
      <c r="B136" s="401" t="s">
        <v>80</v>
      </c>
      <c r="C136" s="261" t="s">
        <v>486</v>
      </c>
      <c r="D136" s="401"/>
      <c r="E136" s="246"/>
      <c r="F136" s="247"/>
      <c r="G136" s="247"/>
      <c r="H136" s="247"/>
      <c r="I136" s="566">
        <f>I138</f>
        <v>421.6</v>
      </c>
      <c r="J136" s="566">
        <f>J138</f>
        <v>0</v>
      </c>
      <c r="K136" s="566">
        <f>K138</f>
        <v>421.6</v>
      </c>
      <c r="L136" s="571">
        <f>L138</f>
        <v>500</v>
      </c>
    </row>
    <row r="137" spans="1:12" ht="31.5" customHeight="1">
      <c r="A137" s="399" t="s">
        <v>341</v>
      </c>
      <c r="B137" s="401" t="s">
        <v>80</v>
      </c>
      <c r="C137" s="261" t="s">
        <v>486</v>
      </c>
      <c r="D137" s="401" t="s">
        <v>340</v>
      </c>
      <c r="E137" s="246"/>
      <c r="F137" s="247"/>
      <c r="G137" s="247"/>
      <c r="H137" s="247"/>
      <c r="I137" s="566">
        <v>421.6</v>
      </c>
      <c r="J137" s="572"/>
      <c r="K137" s="572">
        <v>421.6</v>
      </c>
      <c r="L137" s="251">
        <f>L138</f>
        <v>500</v>
      </c>
    </row>
    <row r="138" spans="1:12" ht="28.5" customHeight="1">
      <c r="A138" s="245" t="s">
        <v>306</v>
      </c>
      <c r="B138" s="401" t="s">
        <v>80</v>
      </c>
      <c r="C138" s="261" t="s">
        <v>486</v>
      </c>
      <c r="D138" s="401" t="s">
        <v>253</v>
      </c>
      <c r="E138" s="246"/>
      <c r="F138" s="247"/>
      <c r="G138" s="247"/>
      <c r="H138" s="247"/>
      <c r="I138" s="566">
        <v>421.6</v>
      </c>
      <c r="J138" s="572"/>
      <c r="K138" s="572">
        <v>421.6</v>
      </c>
      <c r="L138" s="251">
        <f>'[2]Вед. 2019 (прил 4)'!G147</f>
        <v>500</v>
      </c>
    </row>
    <row r="139" spans="1:12" ht="27" customHeight="1">
      <c r="A139" s="570" t="s">
        <v>462</v>
      </c>
      <c r="B139" s="401" t="s">
        <v>80</v>
      </c>
      <c r="C139" s="261" t="s">
        <v>487</v>
      </c>
      <c r="D139" s="401"/>
      <c r="E139" s="246"/>
      <c r="F139" s="247"/>
      <c r="G139" s="247"/>
      <c r="H139" s="247"/>
      <c r="I139" s="566">
        <f>I141</f>
        <v>421.6</v>
      </c>
      <c r="J139" s="566">
        <f>J141</f>
        <v>0</v>
      </c>
      <c r="K139" s="566">
        <f>K141</f>
        <v>421.6</v>
      </c>
      <c r="L139" s="571">
        <f>L141</f>
        <v>50</v>
      </c>
    </row>
    <row r="140" spans="1:12" ht="27" customHeight="1">
      <c r="A140" s="399" t="s">
        <v>341</v>
      </c>
      <c r="B140" s="401" t="s">
        <v>80</v>
      </c>
      <c r="C140" s="261" t="s">
        <v>487</v>
      </c>
      <c r="D140" s="401" t="s">
        <v>340</v>
      </c>
      <c r="E140" s="246"/>
      <c r="F140" s="247"/>
      <c r="G140" s="247"/>
      <c r="H140" s="247"/>
      <c r="I140" s="566">
        <v>421.6</v>
      </c>
      <c r="J140" s="572"/>
      <c r="K140" s="572">
        <v>421.6</v>
      </c>
      <c r="L140" s="251">
        <f>L141</f>
        <v>50</v>
      </c>
    </row>
    <row r="141" spans="1:12" ht="36.75" thickBot="1">
      <c r="A141" s="245" t="s">
        <v>306</v>
      </c>
      <c r="B141" s="401" t="s">
        <v>80</v>
      </c>
      <c r="C141" s="357" t="s">
        <v>487</v>
      </c>
      <c r="D141" s="401" t="s">
        <v>253</v>
      </c>
      <c r="E141" s="246"/>
      <c r="F141" s="247"/>
      <c r="G141" s="247"/>
      <c r="H141" s="247"/>
      <c r="I141" s="566">
        <v>421.6</v>
      </c>
      <c r="J141" s="572"/>
      <c r="K141" s="572">
        <v>421.6</v>
      </c>
      <c r="L141" s="251">
        <f>'[2]Вед. 2019 (прил 4)'!G150</f>
        <v>50</v>
      </c>
    </row>
    <row r="142" spans="1:12" ht="13.5" thickBot="1">
      <c r="A142" s="332" t="s">
        <v>267</v>
      </c>
      <c r="B142" s="321" t="s">
        <v>80</v>
      </c>
      <c r="C142" s="358" t="s">
        <v>492</v>
      </c>
      <c r="D142" s="321"/>
      <c r="E142" s="296"/>
      <c r="F142" s="297">
        <f>F143</f>
        <v>228.1</v>
      </c>
      <c r="G142" s="297">
        <f>G143</f>
        <v>101.4</v>
      </c>
      <c r="H142" s="297">
        <f>H143</f>
        <v>152.1</v>
      </c>
      <c r="I142" s="322">
        <f>I143+I146+I149</f>
        <v>5808.7999999999993</v>
      </c>
      <c r="J142" s="322">
        <f>J143+J146+J149</f>
        <v>3821.0000000000005</v>
      </c>
      <c r="K142" s="322">
        <f>K143+K146+K149</f>
        <v>5808.7999999999993</v>
      </c>
      <c r="L142" s="323">
        <f>L143+L146+L149+L152</f>
        <v>22136.5</v>
      </c>
    </row>
    <row r="143" spans="1:12" ht="22.5" customHeight="1">
      <c r="A143" s="567" t="s">
        <v>409</v>
      </c>
      <c r="B143" s="559" t="s">
        <v>80</v>
      </c>
      <c r="C143" s="261" t="s">
        <v>489</v>
      </c>
      <c r="D143" s="559"/>
      <c r="E143" s="246"/>
      <c r="F143" s="247">
        <f>[3]роспись!H96</f>
        <v>228.1</v>
      </c>
      <c r="G143" s="247">
        <v>101.4</v>
      </c>
      <c r="H143" s="247">
        <v>152.1</v>
      </c>
      <c r="I143" s="266">
        <f>I145</f>
        <v>3232.7</v>
      </c>
      <c r="J143" s="266">
        <f>J145</f>
        <v>1940.7</v>
      </c>
      <c r="K143" s="266">
        <f>K145</f>
        <v>3232.7</v>
      </c>
      <c r="L143" s="299">
        <f>L145</f>
        <v>16024.9</v>
      </c>
    </row>
    <row r="144" spans="1:12" ht="26.25" customHeight="1">
      <c r="A144" s="399" t="s">
        <v>341</v>
      </c>
      <c r="B144" s="402" t="s">
        <v>80</v>
      </c>
      <c r="C144" s="261" t="s">
        <v>489</v>
      </c>
      <c r="D144" s="402" t="s">
        <v>340</v>
      </c>
      <c r="E144" s="246"/>
      <c r="F144" s="247">
        <f t="shared" ref="F144:H145" si="12">F145</f>
        <v>400</v>
      </c>
      <c r="G144" s="247">
        <f t="shared" si="12"/>
        <v>220</v>
      </c>
      <c r="H144" s="247">
        <f t="shared" si="12"/>
        <v>400</v>
      </c>
      <c r="I144" s="248">
        <f>3844.9-612.2</f>
        <v>3232.7</v>
      </c>
      <c r="J144" s="248">
        <v>1940.7</v>
      </c>
      <c r="K144" s="248">
        <v>3232.7</v>
      </c>
      <c r="L144" s="251">
        <f>L145</f>
        <v>16024.9</v>
      </c>
    </row>
    <row r="145" spans="1:12" ht="18" customHeight="1">
      <c r="A145" s="245" t="s">
        <v>306</v>
      </c>
      <c r="B145" s="402" t="s">
        <v>80</v>
      </c>
      <c r="C145" s="261" t="s">
        <v>489</v>
      </c>
      <c r="D145" s="402" t="s">
        <v>253</v>
      </c>
      <c r="E145" s="246"/>
      <c r="F145" s="247">
        <f t="shared" si="12"/>
        <v>400</v>
      </c>
      <c r="G145" s="247">
        <f t="shared" si="12"/>
        <v>220</v>
      </c>
      <c r="H145" s="247">
        <f t="shared" si="12"/>
        <v>400</v>
      </c>
      <c r="I145" s="248">
        <f>3844.9-612.2</f>
        <v>3232.7</v>
      </c>
      <c r="J145" s="248">
        <v>1940.7</v>
      </c>
      <c r="K145" s="248">
        <v>3232.7</v>
      </c>
      <c r="L145" s="251">
        <f>'[2]Вед. 2019 (прил 4)'!G154</f>
        <v>16024.9</v>
      </c>
    </row>
    <row r="146" spans="1:12" ht="26.25" customHeight="1">
      <c r="A146" s="399" t="s">
        <v>410</v>
      </c>
      <c r="B146" s="402" t="s">
        <v>80</v>
      </c>
      <c r="C146" s="261" t="s">
        <v>490</v>
      </c>
      <c r="D146" s="402"/>
      <c r="E146" s="246"/>
      <c r="F146" s="247">
        <f>F148</f>
        <v>400</v>
      </c>
      <c r="G146" s="247">
        <f t="shared" ref="G146:L146" si="13">G148</f>
        <v>220</v>
      </c>
      <c r="H146" s="247">
        <f t="shared" si="13"/>
        <v>400</v>
      </c>
      <c r="I146" s="248">
        <v>2076.1</v>
      </c>
      <c r="J146" s="247">
        <f t="shared" si="13"/>
        <v>1865.4</v>
      </c>
      <c r="K146" s="247">
        <f t="shared" si="13"/>
        <v>2076.1</v>
      </c>
      <c r="L146" s="303">
        <f t="shared" si="13"/>
        <v>4308.6000000000004</v>
      </c>
    </row>
    <row r="147" spans="1:12" ht="27" customHeight="1">
      <c r="A147" s="399" t="s">
        <v>341</v>
      </c>
      <c r="B147" s="402" t="s">
        <v>80</v>
      </c>
      <c r="C147" s="261" t="s">
        <v>490</v>
      </c>
      <c r="D147" s="402" t="s">
        <v>340</v>
      </c>
      <c r="E147" s="246"/>
      <c r="F147" s="247">
        <f t="shared" ref="F147:H148" si="14">F148</f>
        <v>400</v>
      </c>
      <c r="G147" s="247">
        <f t="shared" si="14"/>
        <v>220</v>
      </c>
      <c r="H147" s="247">
        <f t="shared" si="14"/>
        <v>400</v>
      </c>
      <c r="I147" s="248">
        <v>2076.1</v>
      </c>
      <c r="J147" s="248">
        <v>1865.4</v>
      </c>
      <c r="K147" s="248">
        <v>2076.1</v>
      </c>
      <c r="L147" s="251">
        <f>L148</f>
        <v>4308.6000000000004</v>
      </c>
    </row>
    <row r="148" spans="1:12" ht="21" customHeight="1">
      <c r="A148" s="245" t="s">
        <v>306</v>
      </c>
      <c r="B148" s="402" t="s">
        <v>80</v>
      </c>
      <c r="C148" s="261" t="s">
        <v>490</v>
      </c>
      <c r="D148" s="402" t="s">
        <v>253</v>
      </c>
      <c r="E148" s="246"/>
      <c r="F148" s="247">
        <f t="shared" si="14"/>
        <v>400</v>
      </c>
      <c r="G148" s="247">
        <f t="shared" si="14"/>
        <v>220</v>
      </c>
      <c r="H148" s="247">
        <f t="shared" si="14"/>
        <v>400</v>
      </c>
      <c r="I148" s="248">
        <v>2076.1</v>
      </c>
      <c r="J148" s="248">
        <v>1865.4</v>
      </c>
      <c r="K148" s="248">
        <v>2076.1</v>
      </c>
      <c r="L148" s="251">
        <f>'[2]Вед. 2019 (прил 4)'!G157</f>
        <v>4308.6000000000004</v>
      </c>
    </row>
    <row r="149" spans="1:12" ht="24.75" customHeight="1">
      <c r="A149" s="399" t="s">
        <v>82</v>
      </c>
      <c r="B149" s="402" t="s">
        <v>80</v>
      </c>
      <c r="C149" s="261" t="s">
        <v>491</v>
      </c>
      <c r="D149" s="402"/>
      <c r="E149" s="246"/>
      <c r="F149" s="247">
        <v>400</v>
      </c>
      <c r="G149" s="247">
        <v>220</v>
      </c>
      <c r="H149" s="247">
        <v>400</v>
      </c>
      <c r="I149" s="248">
        <f>I151</f>
        <v>500</v>
      </c>
      <c r="J149" s="248">
        <f>J151</f>
        <v>14.9</v>
      </c>
      <c r="K149" s="248">
        <f>K151</f>
        <v>500</v>
      </c>
      <c r="L149" s="303">
        <f>L151</f>
        <v>1500</v>
      </c>
    </row>
    <row r="150" spans="1:12" ht="27" customHeight="1">
      <c r="A150" s="399" t="s">
        <v>341</v>
      </c>
      <c r="B150" s="401" t="s">
        <v>80</v>
      </c>
      <c r="C150" s="261" t="s">
        <v>491</v>
      </c>
      <c r="D150" s="402" t="s">
        <v>340</v>
      </c>
      <c r="E150" s="246"/>
      <c r="F150" s="247" t="e">
        <f t="shared" ref="F150:H151" si="15">F159</f>
        <v>#REF!</v>
      </c>
      <c r="G150" s="247" t="e">
        <f t="shared" si="15"/>
        <v>#REF!</v>
      </c>
      <c r="H150" s="247" t="e">
        <f t="shared" si="15"/>
        <v>#REF!</v>
      </c>
      <c r="I150" s="268">
        <v>500</v>
      </c>
      <c r="J150" s="268">
        <v>14.9</v>
      </c>
      <c r="K150" s="268">
        <v>500</v>
      </c>
      <c r="L150" s="269">
        <f>L151</f>
        <v>1500</v>
      </c>
    </row>
    <row r="151" spans="1:12" ht="27" customHeight="1">
      <c r="A151" s="245" t="s">
        <v>306</v>
      </c>
      <c r="B151" s="402" t="s">
        <v>80</v>
      </c>
      <c r="C151" s="246" t="s">
        <v>491</v>
      </c>
      <c r="D151" s="402" t="s">
        <v>253</v>
      </c>
      <c r="E151" s="246"/>
      <c r="F151" s="247" t="e">
        <f t="shared" si="15"/>
        <v>#REF!</v>
      </c>
      <c r="G151" s="247" t="e">
        <f t="shared" si="15"/>
        <v>#REF!</v>
      </c>
      <c r="H151" s="247" t="e">
        <f t="shared" si="15"/>
        <v>#REF!</v>
      </c>
      <c r="I151" s="247">
        <v>500</v>
      </c>
      <c r="J151" s="247">
        <v>14.9</v>
      </c>
      <c r="K151" s="247">
        <v>500</v>
      </c>
      <c r="L151" s="352">
        <f>'[2]Вед. 2019 (прил 4)'!G160</f>
        <v>1500</v>
      </c>
    </row>
    <row r="152" spans="1:12" ht="27" customHeight="1">
      <c r="A152" s="245" t="s">
        <v>619</v>
      </c>
      <c r="B152" s="401" t="s">
        <v>80</v>
      </c>
      <c r="C152" s="246" t="s">
        <v>620</v>
      </c>
      <c r="D152" s="401"/>
      <c r="E152" s="246"/>
      <c r="F152" s="247"/>
      <c r="G152" s="247"/>
      <c r="H152" s="247"/>
      <c r="I152" s="247"/>
      <c r="J152" s="247"/>
      <c r="K152" s="247"/>
      <c r="L152" s="551">
        <f>L153</f>
        <v>303</v>
      </c>
    </row>
    <row r="153" spans="1:12" ht="27" customHeight="1">
      <c r="A153" s="570" t="s">
        <v>341</v>
      </c>
      <c r="B153" s="401" t="s">
        <v>80</v>
      </c>
      <c r="C153" s="246" t="s">
        <v>620</v>
      </c>
      <c r="D153" s="401" t="s">
        <v>340</v>
      </c>
      <c r="E153" s="246"/>
      <c r="F153" s="247"/>
      <c r="G153" s="247"/>
      <c r="H153" s="247"/>
      <c r="I153" s="247"/>
      <c r="J153" s="247"/>
      <c r="K153" s="247"/>
      <c r="L153" s="352">
        <f>L154</f>
        <v>303</v>
      </c>
    </row>
    <row r="154" spans="1:12" ht="36">
      <c r="A154" s="245" t="s">
        <v>306</v>
      </c>
      <c r="B154" s="402" t="s">
        <v>80</v>
      </c>
      <c r="C154" s="246" t="s">
        <v>620</v>
      </c>
      <c r="D154" s="402" t="s">
        <v>253</v>
      </c>
      <c r="E154" s="246"/>
      <c r="F154" s="247"/>
      <c r="G154" s="247"/>
      <c r="H154" s="247"/>
      <c r="I154" s="247"/>
      <c r="J154" s="247"/>
      <c r="K154" s="247"/>
      <c r="L154" s="352">
        <f>'[2]Вед. 2019 (прил 4)'!G163</f>
        <v>303</v>
      </c>
    </row>
    <row r="155" spans="1:12" ht="30" customHeight="1" thickBot="1">
      <c r="A155" s="387" t="s">
        <v>34</v>
      </c>
      <c r="B155" s="388" t="s">
        <v>22</v>
      </c>
      <c r="C155" s="388"/>
      <c r="D155" s="388"/>
      <c r="E155" s="295"/>
      <c r="F155" s="304" t="e">
        <f t="shared" ref="F155:K155" si="16">F160</f>
        <v>#REF!</v>
      </c>
      <c r="G155" s="304" t="e">
        <f t="shared" si="16"/>
        <v>#REF!</v>
      </c>
      <c r="H155" s="304" t="e">
        <f t="shared" si="16"/>
        <v>#REF!</v>
      </c>
      <c r="I155" s="389" t="e">
        <f t="shared" si="16"/>
        <v>#REF!</v>
      </c>
      <c r="J155" s="389" t="e">
        <f t="shared" si="16"/>
        <v>#REF!</v>
      </c>
      <c r="K155" s="389" t="e">
        <f t="shared" si="16"/>
        <v>#REF!</v>
      </c>
      <c r="L155" s="390">
        <f>L160+L156</f>
        <v>903.09999999999991</v>
      </c>
    </row>
    <row r="156" spans="1:12" ht="84" customHeight="1">
      <c r="A156" s="325" t="s">
        <v>330</v>
      </c>
      <c r="B156" s="295" t="s">
        <v>329</v>
      </c>
      <c r="C156" s="295"/>
      <c r="D156" s="295"/>
      <c r="E156" s="296"/>
      <c r="F156" s="297" t="e">
        <f>F160</f>
        <v>#REF!</v>
      </c>
      <c r="G156" s="297" t="e">
        <f>G160</f>
        <v>#REF!</v>
      </c>
      <c r="H156" s="297" t="e">
        <f>H160</f>
        <v>#REF!</v>
      </c>
      <c r="I156" s="298" t="e">
        <f>I160+#REF!+#REF!</f>
        <v>#REF!</v>
      </c>
      <c r="J156" s="298" t="e">
        <f>J160+#REF!+#REF!</f>
        <v>#REF!</v>
      </c>
      <c r="K156" s="298" t="e">
        <f>K160+#REF!+#REF!</f>
        <v>#REF!</v>
      </c>
      <c r="L156" s="299">
        <f>L157</f>
        <v>61.8</v>
      </c>
    </row>
    <row r="157" spans="1:12" ht="25.5" customHeight="1">
      <c r="A157" s="306" t="s">
        <v>406</v>
      </c>
      <c r="B157" s="296" t="s">
        <v>329</v>
      </c>
      <c r="C157" s="296" t="s">
        <v>493</v>
      </c>
      <c r="D157" s="296"/>
      <c r="E157" s="296"/>
      <c r="F157" s="297" t="e">
        <f>[3]роспись!H101</f>
        <v>#REF!</v>
      </c>
      <c r="G157" s="297">
        <v>309.39999999999998</v>
      </c>
      <c r="H157" s="297">
        <v>500</v>
      </c>
      <c r="I157" s="302" t="e">
        <f>I160</f>
        <v>#REF!</v>
      </c>
      <c r="J157" s="302" t="e">
        <f>J160</f>
        <v>#REF!</v>
      </c>
      <c r="K157" s="302" t="e">
        <f>K160</f>
        <v>#REF!</v>
      </c>
      <c r="L157" s="303">
        <f>L159</f>
        <v>61.8</v>
      </c>
    </row>
    <row r="158" spans="1:12" ht="26.25" customHeight="1">
      <c r="A158" s="399" t="s">
        <v>341</v>
      </c>
      <c r="B158" s="246" t="s">
        <v>329</v>
      </c>
      <c r="C158" s="246" t="s">
        <v>493</v>
      </c>
      <c r="D158" s="246" t="s">
        <v>340</v>
      </c>
      <c r="E158" s="253"/>
      <c r="F158" s="255" t="e">
        <f>F5+#REF!</f>
        <v>#REF!</v>
      </c>
      <c r="G158" s="255" t="e">
        <f>G5+#REF!</f>
        <v>#REF!</v>
      </c>
      <c r="H158" s="255" t="e">
        <f>H5+#REF!</f>
        <v>#REF!</v>
      </c>
      <c r="I158" s="248">
        <v>299</v>
      </c>
      <c r="J158" s="248">
        <v>243.6</v>
      </c>
      <c r="K158" s="248">
        <v>299</v>
      </c>
      <c r="L158" s="269">
        <f>L159</f>
        <v>61.8</v>
      </c>
    </row>
    <row r="159" spans="1:12" ht="18.75" customHeight="1">
      <c r="A159" s="245" t="s">
        <v>306</v>
      </c>
      <c r="B159" s="246" t="s">
        <v>329</v>
      </c>
      <c r="C159" s="246" t="s">
        <v>493</v>
      </c>
      <c r="D159" s="246" t="s">
        <v>253</v>
      </c>
      <c r="E159" s="253"/>
      <c r="F159" s="255" t="e">
        <f>F6+#REF!</f>
        <v>#REF!</v>
      </c>
      <c r="G159" s="255" t="e">
        <f>G6+#REF!</f>
        <v>#REF!</v>
      </c>
      <c r="H159" s="255" t="e">
        <f>H6+#REF!</f>
        <v>#REF!</v>
      </c>
      <c r="I159" s="248">
        <v>299</v>
      </c>
      <c r="J159" s="248">
        <v>243.6</v>
      </c>
      <c r="K159" s="248">
        <v>299</v>
      </c>
      <c r="L159" s="269">
        <f>'[2]Вед. 2019 (прил 4)'!G168</f>
        <v>61.8</v>
      </c>
    </row>
    <row r="160" spans="1:12" ht="38.25" customHeight="1">
      <c r="A160" s="325" t="s">
        <v>522</v>
      </c>
      <c r="B160" s="295" t="s">
        <v>23</v>
      </c>
      <c r="C160" s="295"/>
      <c r="D160" s="296"/>
      <c r="E160" s="296"/>
      <c r="F160" s="297" t="e">
        <f>#REF!</f>
        <v>#REF!</v>
      </c>
      <c r="G160" s="297" t="e">
        <f>#REF!</f>
        <v>#REF!</v>
      </c>
      <c r="H160" s="297" t="e">
        <f>#REF!</f>
        <v>#REF!</v>
      </c>
      <c r="I160" s="298" t="e">
        <f>#REF!+#REF!+I164</f>
        <v>#REF!</v>
      </c>
      <c r="J160" s="298" t="e">
        <f>#REF!+#REF!+J164</f>
        <v>#REF!</v>
      </c>
      <c r="K160" s="298" t="e">
        <f>#REF!+#REF!+K164</f>
        <v>#REF!</v>
      </c>
      <c r="L160" s="336">
        <f>L164+L161</f>
        <v>841.3</v>
      </c>
    </row>
    <row r="161" spans="1:12" ht="38.25" customHeight="1">
      <c r="A161" s="306" t="s">
        <v>581</v>
      </c>
      <c r="B161" s="296" t="s">
        <v>23</v>
      </c>
      <c r="C161" s="296" t="s">
        <v>582</v>
      </c>
      <c r="D161" s="296"/>
      <c r="E161" s="505"/>
      <c r="F161" s="506"/>
      <c r="G161" s="506"/>
      <c r="H161" s="506"/>
      <c r="I161" s="298"/>
      <c r="J161" s="298"/>
      <c r="K161" s="298"/>
      <c r="L161" s="507">
        <f>L162</f>
        <v>738.8</v>
      </c>
    </row>
    <row r="162" spans="1:12" ht="36" customHeight="1">
      <c r="A162" s="399" t="s">
        <v>341</v>
      </c>
      <c r="B162" s="246" t="s">
        <v>23</v>
      </c>
      <c r="C162" s="246" t="s">
        <v>582</v>
      </c>
      <c r="D162" s="246" t="s">
        <v>340</v>
      </c>
      <c r="E162" s="505"/>
      <c r="F162" s="506"/>
      <c r="G162" s="506"/>
      <c r="H162" s="506"/>
      <c r="I162" s="298"/>
      <c r="J162" s="298"/>
      <c r="K162" s="298"/>
      <c r="L162" s="529">
        <f>L163</f>
        <v>738.8</v>
      </c>
    </row>
    <row r="163" spans="1:12" ht="50.25" customHeight="1">
      <c r="A163" s="245" t="s">
        <v>306</v>
      </c>
      <c r="B163" s="246" t="s">
        <v>23</v>
      </c>
      <c r="C163" s="246" t="s">
        <v>582</v>
      </c>
      <c r="D163" s="246" t="s">
        <v>253</v>
      </c>
      <c r="E163" s="505"/>
      <c r="F163" s="506"/>
      <c r="G163" s="506"/>
      <c r="H163" s="506"/>
      <c r="I163" s="298"/>
      <c r="J163" s="298"/>
      <c r="K163" s="298"/>
      <c r="L163" s="529">
        <f>'[2]Вед. 2019 (прил 4)'!G172</f>
        <v>738.8</v>
      </c>
    </row>
    <row r="164" spans="1:12" ht="32.25" customHeight="1">
      <c r="A164" s="337" t="s">
        <v>411</v>
      </c>
      <c r="B164" s="296" t="s">
        <v>23</v>
      </c>
      <c r="C164" s="296" t="s">
        <v>514</v>
      </c>
      <c r="D164" s="296"/>
      <c r="E164" s="338"/>
      <c r="F164" s="339"/>
      <c r="G164" s="340"/>
      <c r="H164" s="340"/>
      <c r="I164" s="302">
        <f>I166</f>
        <v>120</v>
      </c>
      <c r="J164" s="302">
        <f>J166</f>
        <v>100</v>
      </c>
      <c r="K164" s="302">
        <f>K166</f>
        <v>120</v>
      </c>
      <c r="L164" s="303">
        <f>L166</f>
        <v>102.5</v>
      </c>
    </row>
    <row r="165" spans="1:12" ht="27.75" customHeight="1">
      <c r="A165" s="399" t="s">
        <v>341</v>
      </c>
      <c r="B165" s="263" t="s">
        <v>23</v>
      </c>
      <c r="C165" s="246" t="s">
        <v>514</v>
      </c>
      <c r="D165" s="246" t="s">
        <v>340</v>
      </c>
      <c r="E165" s="271"/>
      <c r="F165" s="272"/>
      <c r="G165" s="273"/>
      <c r="H165" s="273"/>
      <c r="I165" s="268">
        <v>120</v>
      </c>
      <c r="J165" s="268">
        <v>100</v>
      </c>
      <c r="K165" s="268">
        <v>120</v>
      </c>
      <c r="L165" s="269">
        <f>L166</f>
        <v>102.5</v>
      </c>
    </row>
    <row r="166" spans="1:12" ht="36.75" thickBot="1">
      <c r="A166" s="245" t="s">
        <v>306</v>
      </c>
      <c r="B166" s="263" t="s">
        <v>23</v>
      </c>
      <c r="C166" s="246" t="s">
        <v>514</v>
      </c>
      <c r="D166" s="246" t="s">
        <v>253</v>
      </c>
      <c r="E166" s="271"/>
      <c r="F166" s="272"/>
      <c r="G166" s="273"/>
      <c r="H166" s="273"/>
      <c r="I166" s="268">
        <v>120</v>
      </c>
      <c r="J166" s="268">
        <v>100</v>
      </c>
      <c r="K166" s="268">
        <v>120</v>
      </c>
      <c r="L166" s="269">
        <f>'[2]Вед. 2019 (прил 4)'!G175</f>
        <v>102.5</v>
      </c>
    </row>
    <row r="167" spans="1:12" ht="13.5" thickBot="1">
      <c r="A167" s="320" t="s">
        <v>208</v>
      </c>
      <c r="B167" s="321" t="s">
        <v>24</v>
      </c>
      <c r="C167" s="321"/>
      <c r="D167" s="321"/>
      <c r="E167" s="271"/>
      <c r="F167" s="272"/>
      <c r="G167" s="273"/>
      <c r="H167" s="273"/>
      <c r="I167" s="322">
        <f>I168</f>
        <v>2689</v>
      </c>
      <c r="J167" s="322">
        <f>J168</f>
        <v>1456</v>
      </c>
      <c r="K167" s="322">
        <f>K168</f>
        <v>2689</v>
      </c>
      <c r="L167" s="323">
        <f>L168+L172</f>
        <v>8038.5999999999995</v>
      </c>
    </row>
    <row r="168" spans="1:12" ht="62.25" customHeight="1">
      <c r="A168" s="325" t="s">
        <v>38</v>
      </c>
      <c r="B168" s="295" t="s">
        <v>39</v>
      </c>
      <c r="C168" s="295"/>
      <c r="D168" s="295"/>
      <c r="E168" s="338"/>
      <c r="F168" s="339"/>
      <c r="G168" s="340"/>
      <c r="H168" s="340"/>
      <c r="I168" s="298">
        <f>I169+I172</f>
        <v>2689</v>
      </c>
      <c r="J168" s="298">
        <f>J169+J172</f>
        <v>1456</v>
      </c>
      <c r="K168" s="298">
        <f>K169+K172</f>
        <v>2689</v>
      </c>
      <c r="L168" s="299">
        <f>L169</f>
        <v>5348.9</v>
      </c>
    </row>
    <row r="169" spans="1:12" ht="31.5" customHeight="1">
      <c r="A169" s="306" t="s">
        <v>412</v>
      </c>
      <c r="B169" s="296" t="s">
        <v>39</v>
      </c>
      <c r="C169" s="296" t="s">
        <v>494</v>
      </c>
      <c r="D169" s="296"/>
      <c r="E169" s="338"/>
      <c r="F169" s="339"/>
      <c r="G169" s="340"/>
      <c r="H169" s="340"/>
      <c r="I169" s="302">
        <f>I171</f>
        <v>1918</v>
      </c>
      <c r="J169" s="302">
        <f>J171</f>
        <v>1097.9000000000001</v>
      </c>
      <c r="K169" s="302">
        <f>K171</f>
        <v>1918</v>
      </c>
      <c r="L169" s="303">
        <f>L171</f>
        <v>5348.9</v>
      </c>
    </row>
    <row r="170" spans="1:12" ht="25.5" customHeight="1">
      <c r="A170" s="399" t="s">
        <v>341</v>
      </c>
      <c r="B170" s="246" t="s">
        <v>39</v>
      </c>
      <c r="C170" s="246" t="s">
        <v>494</v>
      </c>
      <c r="D170" s="246" t="s">
        <v>340</v>
      </c>
      <c r="E170" s="271"/>
      <c r="F170" s="272"/>
      <c r="G170" s="273"/>
      <c r="H170" s="273"/>
      <c r="I170" s="248">
        <f>1909+9</f>
        <v>1918</v>
      </c>
      <c r="J170" s="248">
        <v>1097.9000000000001</v>
      </c>
      <c r="K170" s="248">
        <v>1918</v>
      </c>
      <c r="L170" s="269">
        <f>L171</f>
        <v>5348.9</v>
      </c>
    </row>
    <row r="171" spans="1:12" ht="25.5" customHeight="1">
      <c r="A171" s="245" t="s">
        <v>306</v>
      </c>
      <c r="B171" s="246" t="s">
        <v>39</v>
      </c>
      <c r="C171" s="246" t="s">
        <v>494</v>
      </c>
      <c r="D171" s="246" t="s">
        <v>253</v>
      </c>
      <c r="E171" s="271"/>
      <c r="F171" s="272"/>
      <c r="G171" s="273"/>
      <c r="H171" s="273"/>
      <c r="I171" s="248">
        <f>1909+9</f>
        <v>1918</v>
      </c>
      <c r="J171" s="248">
        <v>1097.9000000000001</v>
      </c>
      <c r="K171" s="248">
        <v>1918</v>
      </c>
      <c r="L171" s="269">
        <f>'[2]Вед. 2019 (прил 4)'!G180</f>
        <v>5348.9</v>
      </c>
    </row>
    <row r="172" spans="1:12" ht="25.5" customHeight="1">
      <c r="A172" s="337" t="s">
        <v>310</v>
      </c>
      <c r="B172" s="296" t="s">
        <v>269</v>
      </c>
      <c r="C172" s="296"/>
      <c r="D172" s="296"/>
      <c r="E172" s="338"/>
      <c r="F172" s="339"/>
      <c r="G172" s="340"/>
      <c r="H172" s="340"/>
      <c r="I172" s="302">
        <f>I175</f>
        <v>771</v>
      </c>
      <c r="J172" s="302">
        <f>J175</f>
        <v>358.1</v>
      </c>
      <c r="K172" s="302">
        <f>K175</f>
        <v>771</v>
      </c>
      <c r="L172" s="303">
        <f>L173</f>
        <v>2689.7</v>
      </c>
    </row>
    <row r="173" spans="1:12" ht="15.75" customHeight="1">
      <c r="A173" s="342" t="s">
        <v>413</v>
      </c>
      <c r="B173" s="334" t="s">
        <v>269</v>
      </c>
      <c r="C173" s="296" t="s">
        <v>495</v>
      </c>
      <c r="D173" s="334"/>
      <c r="E173" s="338"/>
      <c r="F173" s="339"/>
      <c r="G173" s="340"/>
      <c r="H173" s="340"/>
      <c r="I173" s="343"/>
      <c r="J173" s="343"/>
      <c r="K173" s="343"/>
      <c r="L173" s="344">
        <f>L175</f>
        <v>2689.7</v>
      </c>
    </row>
    <row r="174" spans="1:12" ht="27" customHeight="1">
      <c r="A174" s="399" t="s">
        <v>341</v>
      </c>
      <c r="B174" s="263" t="s">
        <v>269</v>
      </c>
      <c r="C174" s="246" t="s">
        <v>495</v>
      </c>
      <c r="D174" s="246" t="s">
        <v>340</v>
      </c>
      <c r="E174" s="271"/>
      <c r="F174" s="272"/>
      <c r="G174" s="273"/>
      <c r="H174" s="273"/>
      <c r="I174" s="268">
        <f>736+35</f>
        <v>771</v>
      </c>
      <c r="J174" s="268">
        <v>358.1</v>
      </c>
      <c r="K174" s="268">
        <v>771</v>
      </c>
      <c r="L174" s="269">
        <f>L175</f>
        <v>2689.7</v>
      </c>
    </row>
    <row r="175" spans="1:12" ht="30" customHeight="1" thickBot="1">
      <c r="A175" s="245" t="s">
        <v>306</v>
      </c>
      <c r="B175" s="263" t="s">
        <v>269</v>
      </c>
      <c r="C175" s="246" t="s">
        <v>495</v>
      </c>
      <c r="D175" s="246" t="s">
        <v>253</v>
      </c>
      <c r="E175" s="271"/>
      <c r="F175" s="272"/>
      <c r="G175" s="273"/>
      <c r="H175" s="273"/>
      <c r="I175" s="268">
        <f>736+35</f>
        <v>771</v>
      </c>
      <c r="J175" s="268">
        <v>358.1</v>
      </c>
      <c r="K175" s="268">
        <v>771</v>
      </c>
      <c r="L175" s="552">
        <f>'[2]Вед. 2019 (прил 4)'!G184</f>
        <v>2689.7</v>
      </c>
    </row>
    <row r="176" spans="1:12" ht="27" customHeight="1">
      <c r="A176" s="408" t="s">
        <v>35</v>
      </c>
      <c r="B176" s="409">
        <v>1000</v>
      </c>
      <c r="C176" s="409"/>
      <c r="D176" s="409"/>
      <c r="E176" s="271"/>
      <c r="F176" s="272"/>
      <c r="G176" s="273"/>
      <c r="H176" s="273"/>
      <c r="I176" s="410" t="e">
        <f>I184+I177</f>
        <v>#REF!</v>
      </c>
      <c r="J176" s="410" t="e">
        <f>J184+J177</f>
        <v>#REF!</v>
      </c>
      <c r="K176" s="410" t="e">
        <f>K184+K177</f>
        <v>#REF!</v>
      </c>
      <c r="L176" s="411">
        <f>L178+L181+L184</f>
        <v>1373.1999999999998</v>
      </c>
    </row>
    <row r="177" spans="1:12" ht="27" customHeight="1">
      <c r="A177" s="301" t="s">
        <v>221</v>
      </c>
      <c r="B177" s="296" t="s">
        <v>220</v>
      </c>
      <c r="C177" s="296"/>
      <c r="D177" s="296"/>
      <c r="E177" s="412"/>
      <c r="F177" s="413"/>
      <c r="G177" s="414"/>
      <c r="H177" s="414"/>
      <c r="I177" s="297">
        <f>I181</f>
        <v>172.4</v>
      </c>
      <c r="J177" s="297">
        <f>J181</f>
        <v>114.9</v>
      </c>
      <c r="K177" s="297">
        <f>K181</f>
        <v>172.4</v>
      </c>
      <c r="L177" s="303">
        <f>L181+L179</f>
        <v>333.1</v>
      </c>
    </row>
    <row r="178" spans="1:12" ht="27" customHeight="1">
      <c r="A178" s="301" t="s">
        <v>538</v>
      </c>
      <c r="B178" s="296" t="s">
        <v>220</v>
      </c>
      <c r="C178" s="296" t="s">
        <v>539</v>
      </c>
      <c r="D178" s="296"/>
      <c r="E178" s="412"/>
      <c r="F178" s="413"/>
      <c r="G178" s="414"/>
      <c r="H178" s="414"/>
      <c r="I178" s="297"/>
      <c r="J178" s="297"/>
      <c r="K178" s="297"/>
      <c r="L178" s="303">
        <f>L179</f>
        <v>0</v>
      </c>
    </row>
    <row r="179" spans="1:12">
      <c r="A179" s="301" t="s">
        <v>541</v>
      </c>
      <c r="B179" s="246" t="s">
        <v>220</v>
      </c>
      <c r="C179" s="246" t="s">
        <v>539</v>
      </c>
      <c r="D179" s="246" t="s">
        <v>349</v>
      </c>
      <c r="E179" s="412"/>
      <c r="F179" s="413"/>
      <c r="G179" s="414"/>
      <c r="H179" s="414"/>
      <c r="I179" s="247"/>
      <c r="J179" s="247"/>
      <c r="K179" s="247"/>
      <c r="L179" s="251">
        <f>L180</f>
        <v>0</v>
      </c>
    </row>
    <row r="180" spans="1:12" ht="20.25" customHeight="1">
      <c r="A180" s="245" t="s">
        <v>538</v>
      </c>
      <c r="B180" s="246" t="s">
        <v>220</v>
      </c>
      <c r="C180" s="246" t="s">
        <v>539</v>
      </c>
      <c r="D180" s="246" t="s">
        <v>540</v>
      </c>
      <c r="E180" s="412"/>
      <c r="F180" s="413"/>
      <c r="G180" s="414"/>
      <c r="H180" s="414"/>
      <c r="I180" s="247"/>
      <c r="J180" s="247"/>
      <c r="K180" s="247"/>
      <c r="L180" s="251">
        <f>'[2]Вед. 2019 (прил 4)'!G188</f>
        <v>0</v>
      </c>
    </row>
    <row r="181" spans="1:12" ht="34.5" customHeight="1">
      <c r="A181" s="573" t="s">
        <v>222</v>
      </c>
      <c r="B181" s="574" t="s">
        <v>220</v>
      </c>
      <c r="C181" s="406" t="s">
        <v>496</v>
      </c>
      <c r="D181" s="574"/>
      <c r="E181" s="338"/>
      <c r="F181" s="339"/>
      <c r="G181" s="340"/>
      <c r="H181" s="340"/>
      <c r="I181" s="298">
        <f>I183</f>
        <v>172.4</v>
      </c>
      <c r="J181" s="298">
        <f>J183</f>
        <v>114.9</v>
      </c>
      <c r="K181" s="298">
        <f>K183</f>
        <v>172.4</v>
      </c>
      <c r="L181" s="299">
        <f>L183</f>
        <v>333.1</v>
      </c>
    </row>
    <row r="182" spans="1:12" ht="15.75" customHeight="1">
      <c r="A182" s="570" t="s">
        <v>351</v>
      </c>
      <c r="B182" s="401" t="s">
        <v>220</v>
      </c>
      <c r="C182" s="263" t="s">
        <v>496</v>
      </c>
      <c r="D182" s="401" t="s">
        <v>349</v>
      </c>
      <c r="E182" s="271"/>
      <c r="F182" s="272"/>
      <c r="G182" s="273"/>
      <c r="H182" s="273"/>
      <c r="I182" s="248">
        <v>172.4</v>
      </c>
      <c r="J182" s="248">
        <v>114.9</v>
      </c>
      <c r="K182" s="248">
        <v>172.4</v>
      </c>
      <c r="L182" s="251">
        <f>L183</f>
        <v>333.1</v>
      </c>
    </row>
    <row r="183" spans="1:12" ht="36">
      <c r="A183" s="570" t="s">
        <v>352</v>
      </c>
      <c r="B183" s="401" t="s">
        <v>220</v>
      </c>
      <c r="C183" s="263" t="s">
        <v>496</v>
      </c>
      <c r="D183" s="401" t="s">
        <v>350</v>
      </c>
      <c r="E183" s="271"/>
      <c r="F183" s="272"/>
      <c r="G183" s="273"/>
      <c r="H183" s="273"/>
      <c r="I183" s="248">
        <v>172.4</v>
      </c>
      <c r="J183" s="248">
        <v>114.9</v>
      </c>
      <c r="K183" s="248">
        <v>172.4</v>
      </c>
      <c r="L183" s="251">
        <f>'[2]Вед. 2019 (прил 4)'!G191</f>
        <v>333.1</v>
      </c>
    </row>
    <row r="184" spans="1:12" ht="42.75" customHeight="1">
      <c r="A184" s="306" t="s">
        <v>171</v>
      </c>
      <c r="B184" s="296" t="s">
        <v>40</v>
      </c>
      <c r="C184" s="296"/>
      <c r="D184" s="296"/>
      <c r="E184" s="271"/>
      <c r="F184" s="272"/>
      <c r="G184" s="273"/>
      <c r="H184" s="273"/>
      <c r="I184" s="302" t="e">
        <f>#REF!+#REF!+I185</f>
        <v>#REF!</v>
      </c>
      <c r="J184" s="302" t="e">
        <f>#REF!+#REF!+J185</f>
        <v>#REF!</v>
      </c>
      <c r="K184" s="302" t="e">
        <f>#REF!+#REF!+K185</f>
        <v>#REF!</v>
      </c>
      <c r="L184" s="303">
        <f>L185</f>
        <v>1040.0999999999999</v>
      </c>
    </row>
    <row r="185" spans="1:12" ht="19.5" customHeight="1">
      <c r="A185" s="306" t="s">
        <v>520</v>
      </c>
      <c r="B185" s="296" t="s">
        <v>40</v>
      </c>
      <c r="C185" s="296" t="s">
        <v>521</v>
      </c>
      <c r="D185" s="296"/>
      <c r="E185" s="271"/>
      <c r="F185" s="272"/>
      <c r="G185" s="273"/>
      <c r="H185" s="273"/>
      <c r="I185" s="575">
        <f>I187</f>
        <v>602.4</v>
      </c>
      <c r="J185" s="575">
        <f>J187</f>
        <v>229.4</v>
      </c>
      <c r="K185" s="575">
        <f>K187</f>
        <v>344.1</v>
      </c>
      <c r="L185" s="576">
        <f>L187</f>
        <v>1040.0999999999999</v>
      </c>
    </row>
    <row r="186" spans="1:12" ht="20.25" customHeight="1">
      <c r="A186" s="570" t="s">
        <v>351</v>
      </c>
      <c r="B186" s="246" t="s">
        <v>40</v>
      </c>
      <c r="C186" s="246" t="s">
        <v>521</v>
      </c>
      <c r="D186" s="246" t="s">
        <v>349</v>
      </c>
      <c r="E186" s="271"/>
      <c r="F186" s="272"/>
      <c r="G186" s="273"/>
      <c r="H186" s="273"/>
      <c r="I186" s="248">
        <v>602.4</v>
      </c>
      <c r="J186" s="248">
        <v>229.4</v>
      </c>
      <c r="K186" s="248">
        <v>344.1</v>
      </c>
      <c r="L186" s="251">
        <f>L187</f>
        <v>1040.0999999999999</v>
      </c>
    </row>
    <row r="187" spans="1:12" ht="36.75" thickBot="1">
      <c r="A187" s="570" t="s">
        <v>352</v>
      </c>
      <c r="B187" s="246" t="s">
        <v>40</v>
      </c>
      <c r="C187" s="246" t="s">
        <v>521</v>
      </c>
      <c r="D187" s="246" t="s">
        <v>350</v>
      </c>
      <c r="E187" s="271"/>
      <c r="F187" s="272"/>
      <c r="G187" s="273"/>
      <c r="H187" s="273"/>
      <c r="I187" s="248">
        <v>602.4</v>
      </c>
      <c r="J187" s="248">
        <v>229.4</v>
      </c>
      <c r="K187" s="248">
        <v>344.1</v>
      </c>
      <c r="L187" s="251">
        <f>'[2]Вед. 2019 (прил 4)'!G195</f>
        <v>1040.0999999999999</v>
      </c>
    </row>
    <row r="188" spans="1:12" ht="13.5" thickBot="1">
      <c r="A188" s="320" t="s">
        <v>170</v>
      </c>
      <c r="B188" s="321" t="s">
        <v>185</v>
      </c>
      <c r="C188" s="321"/>
      <c r="D188" s="321"/>
      <c r="E188" s="271"/>
      <c r="F188" s="272"/>
      <c r="G188" s="273"/>
      <c r="H188" s="273"/>
      <c r="I188" s="322">
        <f t="shared" ref="I188:L189" si="17">I189</f>
        <v>653</v>
      </c>
      <c r="J188" s="322">
        <f t="shared" si="17"/>
        <v>424.3</v>
      </c>
      <c r="K188" s="322">
        <f t="shared" si="17"/>
        <v>653</v>
      </c>
      <c r="L188" s="323">
        <f t="shared" si="17"/>
        <v>545.29999999999995</v>
      </c>
    </row>
    <row r="189" spans="1:12" ht="21.75" customHeight="1">
      <c r="A189" s="325" t="s">
        <v>186</v>
      </c>
      <c r="B189" s="295" t="s">
        <v>184</v>
      </c>
      <c r="C189" s="295"/>
      <c r="D189" s="295"/>
      <c r="E189" s="338"/>
      <c r="F189" s="339"/>
      <c r="G189" s="340"/>
      <c r="H189" s="340"/>
      <c r="I189" s="298">
        <f t="shared" si="17"/>
        <v>653</v>
      </c>
      <c r="J189" s="298">
        <f t="shared" si="17"/>
        <v>424.3</v>
      </c>
      <c r="K189" s="298">
        <f t="shared" si="17"/>
        <v>653</v>
      </c>
      <c r="L189" s="299">
        <f t="shared" si="17"/>
        <v>545.29999999999995</v>
      </c>
    </row>
    <row r="190" spans="1:12" ht="25.5" customHeight="1">
      <c r="A190" s="337" t="s">
        <v>398</v>
      </c>
      <c r="B190" s="246" t="s">
        <v>184</v>
      </c>
      <c r="C190" s="334" t="s">
        <v>497</v>
      </c>
      <c r="D190" s="246"/>
      <c r="E190" s="271"/>
      <c r="F190" s="272"/>
      <c r="G190" s="273"/>
      <c r="H190" s="273"/>
      <c r="I190" s="248">
        <f>I192</f>
        <v>653</v>
      </c>
      <c r="J190" s="248">
        <f>J192</f>
        <v>424.3</v>
      </c>
      <c r="K190" s="248">
        <f>K192</f>
        <v>653</v>
      </c>
      <c r="L190" s="251">
        <f>L192</f>
        <v>545.29999999999995</v>
      </c>
    </row>
    <row r="191" spans="1:12" ht="60">
      <c r="A191" s="399" t="s">
        <v>341</v>
      </c>
      <c r="B191" s="263" t="s">
        <v>184</v>
      </c>
      <c r="C191" s="263" t="s">
        <v>497</v>
      </c>
      <c r="D191" s="263" t="s">
        <v>340</v>
      </c>
      <c r="E191" s="271"/>
      <c r="F191" s="272"/>
      <c r="G191" s="273"/>
      <c r="H191" s="273"/>
      <c r="I191" s="268">
        <f>697-44</f>
        <v>653</v>
      </c>
      <c r="J191" s="268">
        <v>424.3</v>
      </c>
      <c r="K191" s="268">
        <v>653</v>
      </c>
      <c r="L191" s="269">
        <f>L192</f>
        <v>545.29999999999995</v>
      </c>
    </row>
    <row r="192" spans="1:12" ht="36.75" thickBot="1">
      <c r="A192" s="245" t="s">
        <v>306</v>
      </c>
      <c r="B192" s="263" t="s">
        <v>184</v>
      </c>
      <c r="C192" s="263" t="s">
        <v>497</v>
      </c>
      <c r="D192" s="263" t="s">
        <v>253</v>
      </c>
      <c r="E192" s="271"/>
      <c r="F192" s="272"/>
      <c r="G192" s="273"/>
      <c r="H192" s="273"/>
      <c r="I192" s="268">
        <f>697-44</f>
        <v>653</v>
      </c>
      <c r="J192" s="268">
        <v>424.3</v>
      </c>
      <c r="K192" s="268">
        <v>653</v>
      </c>
      <c r="L192" s="269">
        <f>'[2]Вед. 2019 (прил 4)'!G200</f>
        <v>545.29999999999995</v>
      </c>
    </row>
    <row r="193" spans="1:12" ht="13.5" thickBot="1">
      <c r="A193" s="320" t="s">
        <v>187</v>
      </c>
      <c r="B193" s="321" t="s">
        <v>188</v>
      </c>
      <c r="C193" s="321"/>
      <c r="D193" s="321"/>
      <c r="E193" s="271"/>
      <c r="F193" s="272"/>
      <c r="G193" s="273"/>
      <c r="H193" s="273"/>
      <c r="I193" s="322" t="e">
        <f>I194</f>
        <v>#REF!</v>
      </c>
      <c r="J193" s="322" t="e">
        <f>J194</f>
        <v>#REF!</v>
      </c>
      <c r="K193" s="322" t="e">
        <f>K194</f>
        <v>#REF!</v>
      </c>
      <c r="L193" s="323">
        <f>L194</f>
        <v>692.4</v>
      </c>
    </row>
    <row r="194" spans="1:12" ht="24.75" customHeight="1">
      <c r="A194" s="325" t="s">
        <v>190</v>
      </c>
      <c r="B194" s="295" t="s">
        <v>189</v>
      </c>
      <c r="C194" s="295"/>
      <c r="D194" s="295"/>
      <c r="E194" s="338"/>
      <c r="F194" s="339"/>
      <c r="G194" s="340"/>
      <c r="H194" s="340"/>
      <c r="I194" s="298" t="e">
        <f>I195+#REF!</f>
        <v>#REF!</v>
      </c>
      <c r="J194" s="298" t="e">
        <f>J195+#REF!</f>
        <v>#REF!</v>
      </c>
      <c r="K194" s="298" t="e">
        <f>K195+#REF!</f>
        <v>#REF!</v>
      </c>
      <c r="L194" s="299">
        <f>L195</f>
        <v>692.4</v>
      </c>
    </row>
    <row r="195" spans="1:12" ht="24.75" customHeight="1">
      <c r="A195" s="337" t="s">
        <v>272</v>
      </c>
      <c r="B195" s="296" t="s">
        <v>189</v>
      </c>
      <c r="C195" s="296" t="s">
        <v>499</v>
      </c>
      <c r="D195" s="296"/>
      <c r="E195" s="338"/>
      <c r="F195" s="339"/>
      <c r="G195" s="340"/>
      <c r="H195" s="340"/>
      <c r="I195" s="302">
        <f>I197</f>
        <v>653.9</v>
      </c>
      <c r="J195" s="302">
        <f>J197</f>
        <v>388.9</v>
      </c>
      <c r="K195" s="302">
        <f>K197</f>
        <v>653.9</v>
      </c>
      <c r="L195" s="303">
        <f>L197</f>
        <v>692.4</v>
      </c>
    </row>
    <row r="196" spans="1:12" ht="60">
      <c r="A196" s="399" t="s">
        <v>341</v>
      </c>
      <c r="B196" s="246" t="s">
        <v>189</v>
      </c>
      <c r="C196" s="246" t="s">
        <v>499</v>
      </c>
      <c r="D196" s="263" t="s">
        <v>340</v>
      </c>
      <c r="E196" s="271"/>
      <c r="F196" s="272"/>
      <c r="G196" s="273"/>
      <c r="H196" s="273"/>
      <c r="I196" s="248">
        <v>653.9</v>
      </c>
      <c r="J196" s="248">
        <v>388.9</v>
      </c>
      <c r="K196" s="248">
        <v>653.9</v>
      </c>
      <c r="L196" s="251">
        <f>L197</f>
        <v>692.4</v>
      </c>
    </row>
    <row r="197" spans="1:12" ht="36.75" thickBot="1">
      <c r="A197" s="245" t="s">
        <v>306</v>
      </c>
      <c r="B197" s="246" t="s">
        <v>189</v>
      </c>
      <c r="C197" s="246" t="s">
        <v>499</v>
      </c>
      <c r="D197" s="263" t="s">
        <v>253</v>
      </c>
      <c r="E197" s="271"/>
      <c r="F197" s="272"/>
      <c r="G197" s="273"/>
      <c r="H197" s="273"/>
      <c r="I197" s="248">
        <v>653.9</v>
      </c>
      <c r="J197" s="248">
        <v>388.9</v>
      </c>
      <c r="K197" s="248">
        <v>653.9</v>
      </c>
      <c r="L197" s="251">
        <f>'[2]Вед. 2019 (прил 4)'!G205</f>
        <v>692.4</v>
      </c>
    </row>
    <row r="198" spans="1:12" ht="15" thickBot="1">
      <c r="A198" s="346" t="s">
        <v>36</v>
      </c>
      <c r="B198" s="347"/>
      <c r="C198" s="347"/>
      <c r="D198" s="347"/>
      <c r="E198" s="277"/>
      <c r="F198" s="278"/>
      <c r="G198" s="279"/>
      <c r="H198" s="279"/>
      <c r="I198" s="348" t="e">
        <f>#REF!+#REF!</f>
        <v>#REF!</v>
      </c>
      <c r="J198" s="348" t="e">
        <f>#REF!+#REF!</f>
        <v>#REF!</v>
      </c>
      <c r="K198" s="348" t="e">
        <f>#REF!+#REF!</f>
        <v>#REF!</v>
      </c>
      <c r="L198" s="349">
        <f>L193+L188+L176+L167+L155+L110+L94+L9+L86</f>
        <v>113689.29999999999</v>
      </c>
    </row>
    <row r="200" spans="1:12">
      <c r="L200" s="282"/>
    </row>
    <row r="201" spans="1:12">
      <c r="L201" s="108"/>
    </row>
    <row r="203" spans="1:12">
      <c r="L203" s="116"/>
    </row>
  </sheetData>
  <mergeCells count="2">
    <mergeCell ref="A5:L6"/>
    <mergeCell ref="D4:L4"/>
  </mergeCells>
  <pageMargins left="0.70866141732283472" right="0.70866141732283472" top="0.74803149606299213" bottom="0.74803149606299213" header="0.31496062992125984" footer="0.31496062992125984"/>
  <pageSetup paperSize="9" scale="85" fitToHeight="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4"/>
  <sheetViews>
    <sheetView workbookViewId="0">
      <selection activeCell="E35" sqref="E35"/>
    </sheetView>
  </sheetViews>
  <sheetFormatPr defaultRowHeight="12.75"/>
  <cols>
    <col min="1" max="1" width="9.140625" style="9" customWidth="1"/>
    <col min="2" max="2" width="46.140625" style="8" customWidth="1"/>
    <col min="3" max="3" width="9.42578125" style="8" customWidth="1"/>
    <col min="4" max="4" width="14.28515625" style="9" customWidth="1"/>
    <col min="5" max="5" width="11.5703125" style="8" customWidth="1"/>
    <col min="6" max="6" width="11" style="8" customWidth="1"/>
    <col min="7" max="7" width="14" style="115" customWidth="1"/>
    <col min="8" max="9" width="9.140625" style="115" customWidth="1"/>
    <col min="10" max="10" width="11.28515625" style="115" customWidth="1"/>
    <col min="11" max="11" width="9.85546875" style="115" bestFit="1" customWidth="1"/>
    <col min="12" max="16384" width="9.140625" style="115"/>
  </cols>
  <sheetData>
    <row r="1" spans="1:11" ht="15.75">
      <c r="A1" s="231"/>
      <c r="B1" s="232"/>
      <c r="C1" s="232"/>
      <c r="D1" s="353"/>
      <c r="E1" s="232"/>
      <c r="F1" s="232"/>
      <c r="G1" s="234" t="s">
        <v>524</v>
      </c>
    </row>
    <row r="2" spans="1:11">
      <c r="A2" s="235"/>
      <c r="B2" s="117"/>
      <c r="C2" s="117"/>
      <c r="D2" s="117"/>
      <c r="E2" s="117"/>
      <c r="F2" s="117"/>
      <c r="G2" s="384" t="s">
        <v>544</v>
      </c>
    </row>
    <row r="3" spans="1:11">
      <c r="A3" s="235"/>
      <c r="B3" s="117"/>
      <c r="C3" s="117"/>
      <c r="D3" s="117"/>
      <c r="E3" s="117"/>
      <c r="F3" s="117"/>
      <c r="G3" s="395"/>
    </row>
    <row r="4" spans="1:11">
      <c r="A4" s="235"/>
      <c r="B4" s="117"/>
      <c r="C4" s="117"/>
      <c r="D4" s="117"/>
      <c r="E4" s="117"/>
      <c r="F4" s="620"/>
      <c r="G4" s="620"/>
    </row>
    <row r="5" spans="1:11">
      <c r="A5" s="622" t="s">
        <v>302</v>
      </c>
      <c r="B5" s="622"/>
      <c r="C5" s="622" t="s">
        <v>214</v>
      </c>
      <c r="D5" s="622"/>
      <c r="E5" s="622"/>
      <c r="F5" s="622"/>
      <c r="G5" s="117"/>
    </row>
    <row r="6" spans="1:11">
      <c r="A6" s="622" t="s">
        <v>596</v>
      </c>
      <c r="B6" s="622"/>
      <c r="C6" s="622"/>
      <c r="D6" s="622"/>
      <c r="E6" s="622"/>
      <c r="F6" s="622"/>
      <c r="G6" s="117"/>
    </row>
    <row r="7" spans="1:11" ht="13.5" thickBot="1">
      <c r="A7" s="236"/>
      <c r="B7" s="237"/>
      <c r="C7" s="237"/>
      <c r="D7" s="236"/>
      <c r="E7" s="236"/>
      <c r="F7" s="238"/>
      <c r="G7" s="117"/>
    </row>
    <row r="8" spans="1:11" ht="85.5" customHeight="1" thickBot="1">
      <c r="A8" s="240" t="s">
        <v>92</v>
      </c>
      <c r="B8" s="241" t="s">
        <v>25</v>
      </c>
      <c r="C8" s="242" t="s">
        <v>139</v>
      </c>
      <c r="D8" s="242" t="s">
        <v>26</v>
      </c>
      <c r="E8" s="242" t="s">
        <v>15</v>
      </c>
      <c r="F8" s="242" t="s">
        <v>27</v>
      </c>
      <c r="G8" s="556" t="s">
        <v>300</v>
      </c>
    </row>
    <row r="9" spans="1:11" ht="36.75" thickBot="1">
      <c r="A9" s="289" t="s">
        <v>2</v>
      </c>
      <c r="B9" s="290" t="s">
        <v>173</v>
      </c>
      <c r="C9" s="291" t="s">
        <v>157</v>
      </c>
      <c r="D9" s="291"/>
      <c r="E9" s="291"/>
      <c r="F9" s="291"/>
      <c r="G9" s="292">
        <f>G10</f>
        <v>2845.5</v>
      </c>
    </row>
    <row r="10" spans="1:11">
      <c r="A10" s="293" t="s">
        <v>164</v>
      </c>
      <c r="B10" s="294" t="s">
        <v>74</v>
      </c>
      <c r="C10" s="295" t="s">
        <v>157</v>
      </c>
      <c r="D10" s="295" t="s">
        <v>14</v>
      </c>
      <c r="E10" s="295"/>
      <c r="F10" s="295"/>
      <c r="G10" s="299">
        <f>G12+G15+G27</f>
        <v>2845.5</v>
      </c>
    </row>
    <row r="11" spans="1:11" ht="41.25" customHeight="1">
      <c r="A11" s="293" t="s">
        <v>62</v>
      </c>
      <c r="B11" s="294" t="s">
        <v>312</v>
      </c>
      <c r="C11" s="295" t="s">
        <v>157</v>
      </c>
      <c r="D11" s="295" t="s">
        <v>43</v>
      </c>
      <c r="E11" s="295"/>
      <c r="F11" s="295"/>
      <c r="G11" s="299">
        <f>G12</f>
        <v>1157.3</v>
      </c>
    </row>
    <row r="12" spans="1:11">
      <c r="A12" s="300" t="s">
        <v>45</v>
      </c>
      <c r="B12" s="301" t="s">
        <v>158</v>
      </c>
      <c r="C12" s="296" t="s">
        <v>157</v>
      </c>
      <c r="D12" s="296" t="s">
        <v>43</v>
      </c>
      <c r="E12" s="296" t="s">
        <v>464</v>
      </c>
      <c r="F12" s="296"/>
      <c r="G12" s="303">
        <f>G13</f>
        <v>1157.3</v>
      </c>
    </row>
    <row r="13" spans="1:11" ht="56.25" customHeight="1">
      <c r="A13" s="244" t="s">
        <v>44</v>
      </c>
      <c r="B13" s="245" t="s">
        <v>336</v>
      </c>
      <c r="C13" s="246" t="s">
        <v>157</v>
      </c>
      <c r="D13" s="246" t="s">
        <v>43</v>
      </c>
      <c r="E13" s="246" t="s">
        <v>464</v>
      </c>
      <c r="F13" s="246" t="s">
        <v>334</v>
      </c>
      <c r="G13" s="251">
        <f>G14</f>
        <v>1157.3</v>
      </c>
    </row>
    <row r="14" spans="1:11" ht="26.25" customHeight="1">
      <c r="A14" s="244" t="s">
        <v>342</v>
      </c>
      <c r="B14" s="245" t="s">
        <v>337</v>
      </c>
      <c r="C14" s="246" t="s">
        <v>157</v>
      </c>
      <c r="D14" s="246" t="s">
        <v>43</v>
      </c>
      <c r="E14" s="246" t="s">
        <v>464</v>
      </c>
      <c r="F14" s="246" t="s">
        <v>335</v>
      </c>
      <c r="G14" s="251">
        <v>1157.3</v>
      </c>
    </row>
    <row r="15" spans="1:11" ht="45" customHeight="1">
      <c r="A15" s="300" t="s">
        <v>3</v>
      </c>
      <c r="B15" s="301" t="s">
        <v>210</v>
      </c>
      <c r="C15" s="296" t="s">
        <v>157</v>
      </c>
      <c r="D15" s="296" t="s">
        <v>29</v>
      </c>
      <c r="E15" s="296"/>
      <c r="F15" s="296"/>
      <c r="G15" s="303">
        <f>G16</f>
        <v>1616.2000000000003</v>
      </c>
    </row>
    <row r="16" spans="1:11" ht="30" customHeight="1">
      <c r="A16" s="300" t="s">
        <v>177</v>
      </c>
      <c r="B16" s="577" t="s">
        <v>508</v>
      </c>
      <c r="C16" s="398" t="s">
        <v>157</v>
      </c>
      <c r="D16" s="398" t="s">
        <v>29</v>
      </c>
      <c r="E16" s="296" t="s">
        <v>465</v>
      </c>
      <c r="F16" s="398"/>
      <c r="G16" s="303">
        <f>G24+G17</f>
        <v>1616.2000000000003</v>
      </c>
      <c r="K16" s="282"/>
    </row>
    <row r="17" spans="1:7" ht="30" customHeight="1">
      <c r="A17" s="300" t="s">
        <v>179</v>
      </c>
      <c r="B17" s="301" t="s">
        <v>251</v>
      </c>
      <c r="C17" s="296" t="s">
        <v>157</v>
      </c>
      <c r="D17" s="296" t="s">
        <v>29</v>
      </c>
      <c r="E17" s="296" t="s">
        <v>502</v>
      </c>
      <c r="F17" s="296"/>
      <c r="G17" s="303">
        <f>G19+G21+G23</f>
        <v>1469.8000000000002</v>
      </c>
    </row>
    <row r="18" spans="1:7" ht="48">
      <c r="A18" s="244" t="s">
        <v>353</v>
      </c>
      <c r="B18" s="417" t="s">
        <v>338</v>
      </c>
      <c r="C18" s="246" t="s">
        <v>157</v>
      </c>
      <c r="D18" s="246" t="s">
        <v>29</v>
      </c>
      <c r="E18" s="246" t="s">
        <v>502</v>
      </c>
      <c r="F18" s="246" t="s">
        <v>334</v>
      </c>
      <c r="G18" s="269">
        <f>G19</f>
        <v>719.80000000000007</v>
      </c>
    </row>
    <row r="19" spans="1:7" ht="28.5" customHeight="1">
      <c r="A19" s="244" t="s">
        <v>509</v>
      </c>
      <c r="B19" s="417" t="s">
        <v>339</v>
      </c>
      <c r="C19" s="246" t="s">
        <v>157</v>
      </c>
      <c r="D19" s="246" t="s">
        <v>29</v>
      </c>
      <c r="E19" s="246" t="s">
        <v>502</v>
      </c>
      <c r="F19" s="246" t="s">
        <v>335</v>
      </c>
      <c r="G19" s="269">
        <f>690.6+29.2</f>
        <v>719.80000000000007</v>
      </c>
    </row>
    <row r="20" spans="1:7" ht="35.25" customHeight="1">
      <c r="A20" s="244" t="s">
        <v>510</v>
      </c>
      <c r="B20" s="399" t="s">
        <v>341</v>
      </c>
      <c r="C20" s="246" t="s">
        <v>157</v>
      </c>
      <c r="D20" s="246" t="s">
        <v>29</v>
      </c>
      <c r="E20" s="246" t="s">
        <v>502</v>
      </c>
      <c r="F20" s="246" t="s">
        <v>340</v>
      </c>
      <c r="G20" s="269">
        <f>G21</f>
        <v>750</v>
      </c>
    </row>
    <row r="21" spans="1:7" ht="36">
      <c r="A21" s="244" t="s">
        <v>511</v>
      </c>
      <c r="B21" s="245" t="s">
        <v>306</v>
      </c>
      <c r="C21" s="246" t="s">
        <v>157</v>
      </c>
      <c r="D21" s="246" t="s">
        <v>29</v>
      </c>
      <c r="E21" s="246" t="s">
        <v>502</v>
      </c>
      <c r="F21" s="246" t="s">
        <v>253</v>
      </c>
      <c r="G21" s="269">
        <v>750</v>
      </c>
    </row>
    <row r="22" spans="1:7" ht="29.25" hidden="1" customHeight="1">
      <c r="A22" s="244" t="s">
        <v>545</v>
      </c>
      <c r="B22" s="399" t="s">
        <v>346</v>
      </c>
      <c r="C22" s="246" t="s">
        <v>157</v>
      </c>
      <c r="D22" s="246" t="s">
        <v>29</v>
      </c>
      <c r="E22" s="246" t="s">
        <v>502</v>
      </c>
      <c r="F22" s="246" t="s">
        <v>345</v>
      </c>
      <c r="G22" s="269">
        <f>G23</f>
        <v>0</v>
      </c>
    </row>
    <row r="23" spans="1:7" ht="28.5" hidden="1" customHeight="1">
      <c r="A23" s="244" t="s">
        <v>546</v>
      </c>
      <c r="B23" s="351" t="s">
        <v>458</v>
      </c>
      <c r="C23" s="246" t="s">
        <v>157</v>
      </c>
      <c r="D23" s="246" t="s">
        <v>29</v>
      </c>
      <c r="E23" s="246" t="s">
        <v>502</v>
      </c>
      <c r="F23" s="246" t="s">
        <v>347</v>
      </c>
      <c r="G23" s="269"/>
    </row>
    <row r="24" spans="1:7" ht="30" customHeight="1">
      <c r="A24" s="300" t="s">
        <v>440</v>
      </c>
      <c r="B24" s="577" t="s">
        <v>232</v>
      </c>
      <c r="C24" s="398" t="s">
        <v>157</v>
      </c>
      <c r="D24" s="398" t="s">
        <v>29</v>
      </c>
      <c r="E24" s="296" t="s">
        <v>503</v>
      </c>
      <c r="F24" s="398"/>
      <c r="G24" s="303">
        <f>G25</f>
        <v>146.4</v>
      </c>
    </row>
    <row r="25" spans="1:7" ht="51" customHeight="1">
      <c r="A25" s="244" t="s">
        <v>512</v>
      </c>
      <c r="B25" s="245" t="s">
        <v>336</v>
      </c>
      <c r="C25" s="246" t="s">
        <v>157</v>
      </c>
      <c r="D25" s="246" t="s">
        <v>29</v>
      </c>
      <c r="E25" s="246" t="s">
        <v>503</v>
      </c>
      <c r="F25" s="246" t="s">
        <v>334</v>
      </c>
      <c r="G25" s="251">
        <f>G26</f>
        <v>146.4</v>
      </c>
    </row>
    <row r="26" spans="1:7" ht="27" customHeight="1">
      <c r="A26" s="244" t="s">
        <v>513</v>
      </c>
      <c r="B26" s="245" t="s">
        <v>337</v>
      </c>
      <c r="C26" s="246" t="s">
        <v>157</v>
      </c>
      <c r="D26" s="246" t="s">
        <v>29</v>
      </c>
      <c r="E26" s="246" t="s">
        <v>503</v>
      </c>
      <c r="F26" s="246" t="s">
        <v>335</v>
      </c>
      <c r="G26" s="251">
        <f>140.4+6</f>
        <v>146.4</v>
      </c>
    </row>
    <row r="27" spans="1:7" ht="27" customHeight="1">
      <c r="A27" s="244" t="s">
        <v>47</v>
      </c>
      <c r="B27" s="294" t="s">
        <v>74</v>
      </c>
      <c r="C27" s="246" t="s">
        <v>157</v>
      </c>
      <c r="D27" s="246" t="s">
        <v>14</v>
      </c>
      <c r="E27" s="246"/>
      <c r="F27" s="246"/>
      <c r="G27" s="303">
        <f>G28</f>
        <v>72</v>
      </c>
    </row>
    <row r="28" spans="1:7" ht="36">
      <c r="A28" s="305" t="s">
        <v>62</v>
      </c>
      <c r="B28" s="306" t="s">
        <v>256</v>
      </c>
      <c r="C28" s="296" t="s">
        <v>157</v>
      </c>
      <c r="D28" s="296" t="s">
        <v>183</v>
      </c>
      <c r="E28" s="296" t="s">
        <v>471</v>
      </c>
      <c r="F28" s="296"/>
      <c r="G28" s="303">
        <f t="shared" ref="G28" si="0">G30</f>
        <v>72</v>
      </c>
    </row>
    <row r="29" spans="1:7" ht="24">
      <c r="A29" s="257" t="s">
        <v>45</v>
      </c>
      <c r="B29" s="274" t="s">
        <v>346</v>
      </c>
      <c r="C29" s="246" t="s">
        <v>157</v>
      </c>
      <c r="D29" s="246" t="s">
        <v>183</v>
      </c>
      <c r="E29" s="246" t="s">
        <v>471</v>
      </c>
      <c r="F29" s="246" t="s">
        <v>345</v>
      </c>
      <c r="G29" s="251">
        <f>G30</f>
        <v>72</v>
      </c>
    </row>
    <row r="30" spans="1:7" ht="24.75" thickBot="1">
      <c r="A30" s="275" t="s">
        <v>44</v>
      </c>
      <c r="B30" s="547" t="s">
        <v>348</v>
      </c>
      <c r="C30" s="263" t="s">
        <v>157</v>
      </c>
      <c r="D30" s="263" t="s">
        <v>183</v>
      </c>
      <c r="E30" s="263" t="s">
        <v>471</v>
      </c>
      <c r="F30" s="263" t="s">
        <v>347</v>
      </c>
      <c r="G30" s="269">
        <v>72</v>
      </c>
    </row>
    <row r="31" spans="1:7" ht="50.25" customHeight="1" thickBot="1">
      <c r="A31" s="548" t="s">
        <v>47</v>
      </c>
      <c r="B31" s="549" t="s">
        <v>604</v>
      </c>
      <c r="C31" s="291" t="s">
        <v>587</v>
      </c>
      <c r="D31" s="328"/>
      <c r="E31" s="328"/>
      <c r="F31" s="328"/>
      <c r="G31" s="323">
        <v>1625</v>
      </c>
    </row>
    <row r="32" spans="1:7" ht="27" customHeight="1">
      <c r="A32" s="293" t="s">
        <v>592</v>
      </c>
      <c r="B32" s="294" t="s">
        <v>74</v>
      </c>
      <c r="C32" s="295" t="s">
        <v>587</v>
      </c>
      <c r="D32" s="295" t="s">
        <v>14</v>
      </c>
      <c r="E32" s="261"/>
      <c r="F32" s="261"/>
      <c r="G32" s="299">
        <f>G33</f>
        <v>2614.3000000000002</v>
      </c>
    </row>
    <row r="33" spans="1:11" ht="24.75" customHeight="1">
      <c r="A33" s="305" t="s">
        <v>62</v>
      </c>
      <c r="B33" s="306" t="s">
        <v>586</v>
      </c>
      <c r="C33" s="307" t="s">
        <v>587</v>
      </c>
      <c r="D33" s="296" t="s">
        <v>588</v>
      </c>
      <c r="E33" s="296" t="s">
        <v>591</v>
      </c>
      <c r="F33" s="296"/>
      <c r="G33" s="303">
        <f>G34</f>
        <v>2614.3000000000002</v>
      </c>
    </row>
    <row r="34" spans="1:11" ht="23.25" customHeight="1">
      <c r="A34" s="257" t="s">
        <v>45</v>
      </c>
      <c r="B34" s="509" t="s">
        <v>589</v>
      </c>
      <c r="C34" s="253" t="s">
        <v>587</v>
      </c>
      <c r="D34" s="253" t="s">
        <v>588</v>
      </c>
      <c r="E34" s="253" t="s">
        <v>591</v>
      </c>
      <c r="F34" s="253" t="s">
        <v>345</v>
      </c>
      <c r="G34" s="251">
        <f>G35</f>
        <v>2614.3000000000002</v>
      </c>
    </row>
    <row r="35" spans="1:11" ht="30.75" customHeight="1" thickBot="1">
      <c r="A35" s="257" t="s">
        <v>44</v>
      </c>
      <c r="B35" s="509" t="s">
        <v>590</v>
      </c>
      <c r="C35" s="253" t="s">
        <v>587</v>
      </c>
      <c r="D35" s="253" t="s">
        <v>588</v>
      </c>
      <c r="E35" s="253" t="s">
        <v>591</v>
      </c>
      <c r="F35" s="253" t="s">
        <v>622</v>
      </c>
      <c r="G35" s="251">
        <f>1625+989.3</f>
        <v>2614.3000000000002</v>
      </c>
    </row>
    <row r="36" spans="1:11" ht="36.75" thickBot="1">
      <c r="A36" s="289" t="s">
        <v>592</v>
      </c>
      <c r="B36" s="290" t="s">
        <v>174</v>
      </c>
      <c r="C36" s="291" t="s">
        <v>138</v>
      </c>
      <c r="D36" s="291"/>
      <c r="E36" s="291"/>
      <c r="F36" s="291"/>
      <c r="G36" s="292">
        <f>G37+G95+G103+G119+G164+G176+G185+G196+G201</f>
        <v>108229.5</v>
      </c>
      <c r="J36" s="282"/>
    </row>
    <row r="37" spans="1:11" ht="29.25" customHeight="1">
      <c r="A37" s="293" t="s">
        <v>164</v>
      </c>
      <c r="B37" s="294" t="s">
        <v>74</v>
      </c>
      <c r="C37" s="295" t="s">
        <v>138</v>
      </c>
      <c r="D37" s="295" t="s">
        <v>14</v>
      </c>
      <c r="E37" s="295"/>
      <c r="F37" s="295"/>
      <c r="G37" s="299">
        <f>G38+G60+G64</f>
        <v>12017.1</v>
      </c>
    </row>
    <row r="38" spans="1:11" ht="48">
      <c r="A38" s="309" t="s">
        <v>8</v>
      </c>
      <c r="B38" s="301" t="s">
        <v>252</v>
      </c>
      <c r="C38" s="296" t="s">
        <v>138</v>
      </c>
      <c r="D38" s="296" t="s">
        <v>46</v>
      </c>
      <c r="E38" s="296"/>
      <c r="F38" s="296"/>
      <c r="G38" s="303">
        <f>G39+G54</f>
        <v>9472.5</v>
      </c>
      <c r="K38" s="282"/>
    </row>
    <row r="39" spans="1:11" s="2" customFormat="1" ht="39.75" customHeight="1">
      <c r="A39" s="309" t="s">
        <v>45</v>
      </c>
      <c r="B39" s="301" t="s">
        <v>506</v>
      </c>
      <c r="C39" s="296" t="s">
        <v>138</v>
      </c>
      <c r="D39" s="296" t="s">
        <v>46</v>
      </c>
      <c r="E39" s="296" t="s">
        <v>466</v>
      </c>
      <c r="F39" s="296"/>
      <c r="G39" s="303">
        <f>G40+G43+G51</f>
        <v>8639.2999999999993</v>
      </c>
    </row>
    <row r="40" spans="1:11" ht="27.75" customHeight="1">
      <c r="A40" s="309" t="s">
        <v>45</v>
      </c>
      <c r="B40" s="301" t="s">
        <v>507</v>
      </c>
      <c r="C40" s="296" t="s">
        <v>138</v>
      </c>
      <c r="D40" s="296" t="s">
        <v>46</v>
      </c>
      <c r="E40" s="296" t="s">
        <v>504</v>
      </c>
      <c r="F40" s="296"/>
      <c r="G40" s="303">
        <f t="shared" ref="G40" si="1">G42</f>
        <v>1175.8999999999999</v>
      </c>
    </row>
    <row r="41" spans="1:11" ht="48">
      <c r="A41" s="257" t="s">
        <v>44</v>
      </c>
      <c r="B41" s="245" t="s">
        <v>338</v>
      </c>
      <c r="C41" s="246" t="s">
        <v>138</v>
      </c>
      <c r="D41" s="246" t="s">
        <v>46</v>
      </c>
      <c r="E41" s="246" t="s">
        <v>504</v>
      </c>
      <c r="F41" s="246" t="s">
        <v>334</v>
      </c>
      <c r="G41" s="251">
        <f>G42</f>
        <v>1175.8999999999999</v>
      </c>
    </row>
    <row r="42" spans="1:11" ht="36" customHeight="1">
      <c r="A42" s="257" t="s">
        <v>342</v>
      </c>
      <c r="B42" s="245" t="s">
        <v>339</v>
      </c>
      <c r="C42" s="246" t="s">
        <v>138</v>
      </c>
      <c r="D42" s="246" t="s">
        <v>46</v>
      </c>
      <c r="E42" s="246" t="s">
        <v>504</v>
      </c>
      <c r="F42" s="246" t="s">
        <v>335</v>
      </c>
      <c r="G42" s="251">
        <f>1129.3+46.6</f>
        <v>1175.8999999999999</v>
      </c>
      <c r="J42" s="282"/>
      <c r="K42" s="282"/>
    </row>
    <row r="43" spans="1:11" ht="31.5" customHeight="1">
      <c r="A43" s="305" t="s">
        <v>63</v>
      </c>
      <c r="B43" s="306" t="s">
        <v>175</v>
      </c>
      <c r="C43" s="296" t="s">
        <v>138</v>
      </c>
      <c r="D43" s="296" t="s">
        <v>46</v>
      </c>
      <c r="E43" s="296" t="s">
        <v>505</v>
      </c>
      <c r="F43" s="296"/>
      <c r="G43" s="303">
        <f>G44+G46+G48</f>
        <v>6891.1999999999989</v>
      </c>
    </row>
    <row r="44" spans="1:11" ht="48">
      <c r="A44" s="254" t="s">
        <v>178</v>
      </c>
      <c r="B44" s="245" t="s">
        <v>338</v>
      </c>
      <c r="C44" s="246" t="s">
        <v>138</v>
      </c>
      <c r="D44" s="246" t="s">
        <v>46</v>
      </c>
      <c r="E44" s="246" t="s">
        <v>505</v>
      </c>
      <c r="F44" s="246" t="s">
        <v>334</v>
      </c>
      <c r="G44" s="256">
        <f>G45</f>
        <v>5726.0999999999995</v>
      </c>
    </row>
    <row r="45" spans="1:11" ht="24">
      <c r="A45" s="254" t="s">
        <v>343</v>
      </c>
      <c r="B45" s="245" t="s">
        <v>339</v>
      </c>
      <c r="C45" s="246" t="s">
        <v>138</v>
      </c>
      <c r="D45" s="246" t="s">
        <v>46</v>
      </c>
      <c r="E45" s="246" t="s">
        <v>505</v>
      </c>
      <c r="F45" s="246" t="s">
        <v>335</v>
      </c>
      <c r="G45" s="256">
        <f>5500.4+225.7</f>
        <v>5726.0999999999995</v>
      </c>
    </row>
    <row r="46" spans="1:11" ht="32.25" customHeight="1">
      <c r="A46" s="254" t="s">
        <v>307</v>
      </c>
      <c r="B46" s="399" t="s">
        <v>341</v>
      </c>
      <c r="C46" s="246" t="s">
        <v>138</v>
      </c>
      <c r="D46" s="246" t="s">
        <v>46</v>
      </c>
      <c r="E46" s="246" t="s">
        <v>505</v>
      </c>
      <c r="F46" s="246" t="s">
        <v>340</v>
      </c>
      <c r="G46" s="251">
        <f>G47</f>
        <v>1071.6329999999998</v>
      </c>
    </row>
    <row r="47" spans="1:11" ht="36">
      <c r="A47" s="254" t="s">
        <v>308</v>
      </c>
      <c r="B47" s="245" t="s">
        <v>306</v>
      </c>
      <c r="C47" s="246" t="s">
        <v>138</v>
      </c>
      <c r="D47" s="246" t="s">
        <v>46</v>
      </c>
      <c r="E47" s="246" t="s">
        <v>505</v>
      </c>
      <c r="F47" s="246" t="s">
        <v>253</v>
      </c>
      <c r="G47" s="251">
        <f>1015+100.1-43.467</f>
        <v>1071.6329999999998</v>
      </c>
    </row>
    <row r="48" spans="1:11" ht="21" customHeight="1">
      <c r="A48" s="254" t="s">
        <v>456</v>
      </c>
      <c r="B48" s="399" t="s">
        <v>346</v>
      </c>
      <c r="C48" s="350" t="s">
        <v>138</v>
      </c>
      <c r="D48" s="350" t="s">
        <v>46</v>
      </c>
      <c r="E48" s="246" t="s">
        <v>505</v>
      </c>
      <c r="F48" s="246" t="s">
        <v>345</v>
      </c>
      <c r="G48" s="251">
        <f>G50+G49</f>
        <v>93.466999999999999</v>
      </c>
    </row>
    <row r="49" spans="1:7" ht="20.25" customHeight="1">
      <c r="A49" s="254" t="s">
        <v>457</v>
      </c>
      <c r="B49" s="399" t="s">
        <v>627</v>
      </c>
      <c r="C49" s="350" t="s">
        <v>138</v>
      </c>
      <c r="D49" s="350" t="s">
        <v>46</v>
      </c>
      <c r="E49" s="246" t="s">
        <v>505</v>
      </c>
      <c r="F49" s="246" t="s">
        <v>628</v>
      </c>
      <c r="G49" s="251">
        <v>83.466999999999999</v>
      </c>
    </row>
    <row r="50" spans="1:7" ht="33" customHeight="1">
      <c r="A50" s="254" t="s">
        <v>629</v>
      </c>
      <c r="B50" s="351" t="s">
        <v>458</v>
      </c>
      <c r="C50" s="350" t="s">
        <v>138</v>
      </c>
      <c r="D50" s="350" t="s">
        <v>46</v>
      </c>
      <c r="E50" s="246" t="s">
        <v>505</v>
      </c>
      <c r="F50" s="246" t="s">
        <v>347</v>
      </c>
      <c r="G50" s="251">
        <f>50-40</f>
        <v>10</v>
      </c>
    </row>
    <row r="51" spans="1:7" ht="20.25" customHeight="1">
      <c r="A51" s="305" t="s">
        <v>242</v>
      </c>
      <c r="B51" s="415" t="s">
        <v>547</v>
      </c>
      <c r="C51" s="416" t="s">
        <v>138</v>
      </c>
      <c r="D51" s="416" t="s">
        <v>46</v>
      </c>
      <c r="E51" s="296" t="s">
        <v>550</v>
      </c>
      <c r="F51" s="296"/>
      <c r="G51" s="303">
        <f>G52</f>
        <v>572.20000000000005</v>
      </c>
    </row>
    <row r="52" spans="1:7" ht="20.25" customHeight="1">
      <c r="A52" s="254" t="s">
        <v>344</v>
      </c>
      <c r="B52" s="417" t="s">
        <v>548</v>
      </c>
      <c r="C52" s="350" t="s">
        <v>138</v>
      </c>
      <c r="D52" s="350" t="s">
        <v>46</v>
      </c>
      <c r="E52" s="246" t="s">
        <v>550</v>
      </c>
      <c r="F52" s="246" t="s">
        <v>334</v>
      </c>
      <c r="G52" s="251">
        <f>G53</f>
        <v>572.20000000000005</v>
      </c>
    </row>
    <row r="53" spans="1:7" ht="51" customHeight="1">
      <c r="A53" s="254" t="s">
        <v>354</v>
      </c>
      <c r="B53" s="418" t="s">
        <v>549</v>
      </c>
      <c r="C53" s="350" t="s">
        <v>138</v>
      </c>
      <c r="D53" s="350" t="s">
        <v>46</v>
      </c>
      <c r="E53" s="246" t="s">
        <v>550</v>
      </c>
      <c r="F53" s="246" t="s">
        <v>335</v>
      </c>
      <c r="G53" s="251">
        <v>572.20000000000005</v>
      </c>
    </row>
    <row r="54" spans="1:7" ht="25.5" customHeight="1">
      <c r="A54" s="305" t="s">
        <v>598</v>
      </c>
      <c r="B54" s="306" t="s">
        <v>518</v>
      </c>
      <c r="C54" s="296" t="s">
        <v>138</v>
      </c>
      <c r="D54" s="296" t="s">
        <v>46</v>
      </c>
      <c r="E54" s="307" t="s">
        <v>519</v>
      </c>
      <c r="F54" s="296"/>
      <c r="G54" s="303">
        <f>G55</f>
        <v>833.19999999999993</v>
      </c>
    </row>
    <row r="55" spans="1:7" ht="27.75" customHeight="1">
      <c r="A55" s="254" t="s">
        <v>599</v>
      </c>
      <c r="B55" s="270" t="s">
        <v>176</v>
      </c>
      <c r="C55" s="246" t="s">
        <v>138</v>
      </c>
      <c r="D55" s="246" t="s">
        <v>46</v>
      </c>
      <c r="E55" s="253" t="s">
        <v>519</v>
      </c>
      <c r="F55" s="246"/>
      <c r="G55" s="251">
        <f>G56+G58</f>
        <v>833.19999999999993</v>
      </c>
    </row>
    <row r="56" spans="1:7" ht="48">
      <c r="A56" s="254" t="s">
        <v>600</v>
      </c>
      <c r="B56" s="245" t="s">
        <v>338</v>
      </c>
      <c r="C56" s="246" t="s">
        <v>138</v>
      </c>
      <c r="D56" s="246" t="s">
        <v>46</v>
      </c>
      <c r="E56" s="253" t="s">
        <v>519</v>
      </c>
      <c r="F56" s="246" t="s">
        <v>334</v>
      </c>
      <c r="G56" s="251">
        <f>G57</f>
        <v>767.4</v>
      </c>
    </row>
    <row r="57" spans="1:7" ht="28.5" customHeight="1">
      <c r="A57" s="254" t="s">
        <v>601</v>
      </c>
      <c r="B57" s="245" t="s">
        <v>339</v>
      </c>
      <c r="C57" s="246" t="s">
        <v>138</v>
      </c>
      <c r="D57" s="246" t="s">
        <v>46</v>
      </c>
      <c r="E57" s="253" t="s">
        <v>519</v>
      </c>
      <c r="F57" s="246" t="s">
        <v>335</v>
      </c>
      <c r="G57" s="251">
        <f>736.3+31.1</f>
        <v>767.4</v>
      </c>
    </row>
    <row r="58" spans="1:7" ht="57" customHeight="1">
      <c r="A58" s="254" t="s">
        <v>602</v>
      </c>
      <c r="B58" s="399" t="s">
        <v>341</v>
      </c>
      <c r="C58" s="246" t="s">
        <v>138</v>
      </c>
      <c r="D58" s="246" t="s">
        <v>46</v>
      </c>
      <c r="E58" s="253" t="s">
        <v>519</v>
      </c>
      <c r="F58" s="246" t="s">
        <v>340</v>
      </c>
      <c r="G58" s="251">
        <f>G59</f>
        <v>65.8</v>
      </c>
    </row>
    <row r="59" spans="1:7" ht="36">
      <c r="A59" s="254" t="s">
        <v>603</v>
      </c>
      <c r="B59" s="245" t="s">
        <v>306</v>
      </c>
      <c r="C59" s="246" t="s">
        <v>138</v>
      </c>
      <c r="D59" s="246" t="s">
        <v>46</v>
      </c>
      <c r="E59" s="253" t="s">
        <v>519</v>
      </c>
      <c r="F59" s="246" t="s">
        <v>253</v>
      </c>
      <c r="G59" s="251">
        <v>65.8</v>
      </c>
    </row>
    <row r="60" spans="1:7" ht="26.25" customHeight="1">
      <c r="A60" s="313" t="s">
        <v>161</v>
      </c>
      <c r="B60" s="306" t="s">
        <v>305</v>
      </c>
      <c r="C60" s="296" t="s">
        <v>138</v>
      </c>
      <c r="D60" s="296" t="s">
        <v>182</v>
      </c>
      <c r="E60" s="296"/>
      <c r="F60" s="296"/>
      <c r="G60" s="303">
        <f t="shared" ref="G60" si="2">G61</f>
        <v>20</v>
      </c>
    </row>
    <row r="61" spans="1:7" ht="26.25" customHeight="1">
      <c r="A61" s="313" t="s">
        <v>177</v>
      </c>
      <c r="B61" s="301" t="s">
        <v>166</v>
      </c>
      <c r="C61" s="296" t="s">
        <v>138</v>
      </c>
      <c r="D61" s="307" t="s">
        <v>182</v>
      </c>
      <c r="E61" s="307" t="s">
        <v>463</v>
      </c>
      <c r="F61" s="307"/>
      <c r="G61" s="312">
        <f>G63</f>
        <v>20</v>
      </c>
    </row>
    <row r="62" spans="1:7" ht="24">
      <c r="A62" s="315" t="s">
        <v>179</v>
      </c>
      <c r="B62" s="316" t="s">
        <v>346</v>
      </c>
      <c r="C62" s="246" t="s">
        <v>138</v>
      </c>
      <c r="D62" s="253" t="s">
        <v>182</v>
      </c>
      <c r="E62" s="253" t="s">
        <v>463</v>
      </c>
      <c r="F62" s="253" t="s">
        <v>345</v>
      </c>
      <c r="G62" s="251">
        <f>G63</f>
        <v>20</v>
      </c>
    </row>
    <row r="63" spans="1:7">
      <c r="A63" s="315" t="s">
        <v>353</v>
      </c>
      <c r="B63" s="245" t="s">
        <v>254</v>
      </c>
      <c r="C63" s="246" t="s">
        <v>138</v>
      </c>
      <c r="D63" s="253" t="s">
        <v>182</v>
      </c>
      <c r="E63" s="253" t="s">
        <v>463</v>
      </c>
      <c r="F63" s="253" t="s">
        <v>255</v>
      </c>
      <c r="G63" s="251">
        <v>20</v>
      </c>
    </row>
    <row r="64" spans="1:7" ht="18" customHeight="1">
      <c r="A64" s="305" t="s">
        <v>231</v>
      </c>
      <c r="B64" s="306" t="s">
        <v>30</v>
      </c>
      <c r="C64" s="296" t="s">
        <v>138</v>
      </c>
      <c r="D64" s="296" t="s">
        <v>183</v>
      </c>
      <c r="E64" s="296"/>
      <c r="F64" s="296"/>
      <c r="G64" s="303">
        <f>G68+G71+G74+G83+G80+G86+G65+G89+G77+G92</f>
        <v>2524.6</v>
      </c>
    </row>
    <row r="65" spans="1:7" ht="39.75" hidden="1" customHeight="1">
      <c r="A65" s="305" t="s">
        <v>414</v>
      </c>
      <c r="B65" s="306" t="s">
        <v>167</v>
      </c>
      <c r="C65" s="296" t="s">
        <v>138</v>
      </c>
      <c r="D65" s="296" t="s">
        <v>183</v>
      </c>
      <c r="E65" s="296" t="s">
        <v>467</v>
      </c>
      <c r="F65" s="296"/>
      <c r="G65" s="303">
        <f t="shared" ref="G65" si="3">G67</f>
        <v>0</v>
      </c>
    </row>
    <row r="66" spans="1:7" ht="26.25" hidden="1" customHeight="1">
      <c r="A66" s="257" t="s">
        <v>75</v>
      </c>
      <c r="B66" s="399" t="s">
        <v>341</v>
      </c>
      <c r="C66" s="246" t="s">
        <v>138</v>
      </c>
      <c r="D66" s="246" t="s">
        <v>183</v>
      </c>
      <c r="E66" s="246" t="s">
        <v>467</v>
      </c>
      <c r="F66" s="246" t="s">
        <v>340</v>
      </c>
      <c r="G66" s="251">
        <f>G67</f>
        <v>0</v>
      </c>
    </row>
    <row r="67" spans="1:7" ht="39" hidden="1" customHeight="1">
      <c r="A67" s="257" t="s">
        <v>355</v>
      </c>
      <c r="B67" s="245" t="s">
        <v>306</v>
      </c>
      <c r="C67" s="246" t="s">
        <v>138</v>
      </c>
      <c r="D67" s="246" t="s">
        <v>183</v>
      </c>
      <c r="E67" s="246" t="s">
        <v>467</v>
      </c>
      <c r="F67" s="246" t="s">
        <v>253</v>
      </c>
      <c r="G67" s="251"/>
    </row>
    <row r="68" spans="1:7" ht="35.25" customHeight="1">
      <c r="A68" s="305" t="s">
        <v>415</v>
      </c>
      <c r="B68" s="306" t="s">
        <v>396</v>
      </c>
      <c r="C68" s="296" t="s">
        <v>138</v>
      </c>
      <c r="D68" s="296" t="s">
        <v>183</v>
      </c>
      <c r="E68" s="296" t="s">
        <v>468</v>
      </c>
      <c r="F68" s="296"/>
      <c r="G68" s="303">
        <f t="shared" ref="G68" si="4">G70</f>
        <v>947.3</v>
      </c>
    </row>
    <row r="69" spans="1:7" ht="30.75" customHeight="1">
      <c r="A69" s="257" t="s">
        <v>416</v>
      </c>
      <c r="B69" s="399" t="s">
        <v>341</v>
      </c>
      <c r="C69" s="246" t="s">
        <v>138</v>
      </c>
      <c r="D69" s="246" t="s">
        <v>183</v>
      </c>
      <c r="E69" s="246" t="s">
        <v>468</v>
      </c>
      <c r="F69" s="246" t="s">
        <v>340</v>
      </c>
      <c r="G69" s="251">
        <f>G70</f>
        <v>947.3</v>
      </c>
    </row>
    <row r="70" spans="1:7" ht="22.5" customHeight="1">
      <c r="A70" s="257" t="s">
        <v>417</v>
      </c>
      <c r="B70" s="245" t="s">
        <v>306</v>
      </c>
      <c r="C70" s="246" t="s">
        <v>138</v>
      </c>
      <c r="D70" s="246" t="s">
        <v>183</v>
      </c>
      <c r="E70" s="246" t="s">
        <v>468</v>
      </c>
      <c r="F70" s="246" t="s">
        <v>253</v>
      </c>
      <c r="G70" s="251">
        <f>1130.3-126-57</f>
        <v>947.3</v>
      </c>
    </row>
    <row r="71" spans="1:7" ht="27" customHeight="1">
      <c r="A71" s="305" t="s">
        <v>454</v>
      </c>
      <c r="B71" s="306" t="s">
        <v>395</v>
      </c>
      <c r="C71" s="296" t="s">
        <v>138</v>
      </c>
      <c r="D71" s="296" t="s">
        <v>183</v>
      </c>
      <c r="E71" s="296" t="s">
        <v>474</v>
      </c>
      <c r="F71" s="296"/>
      <c r="G71" s="303">
        <f t="shared" ref="G71" si="5">G73</f>
        <v>1274.8</v>
      </c>
    </row>
    <row r="72" spans="1:7" ht="60">
      <c r="A72" s="257" t="s">
        <v>418</v>
      </c>
      <c r="B72" s="399" t="s">
        <v>341</v>
      </c>
      <c r="C72" s="246" t="s">
        <v>138</v>
      </c>
      <c r="D72" s="246" t="s">
        <v>183</v>
      </c>
      <c r="E72" s="246" t="s">
        <v>474</v>
      </c>
      <c r="F72" s="246" t="s">
        <v>340</v>
      </c>
      <c r="G72" s="251">
        <f>G73</f>
        <v>1274.8</v>
      </c>
    </row>
    <row r="73" spans="1:7" ht="50.25" customHeight="1">
      <c r="A73" s="257" t="s">
        <v>419</v>
      </c>
      <c r="B73" s="245" t="s">
        <v>306</v>
      </c>
      <c r="C73" s="246" t="s">
        <v>138</v>
      </c>
      <c r="D73" s="246" t="s">
        <v>183</v>
      </c>
      <c r="E73" s="246" t="s">
        <v>474</v>
      </c>
      <c r="F73" s="246" t="s">
        <v>253</v>
      </c>
      <c r="G73" s="251">
        <f>1394.8-120</f>
        <v>1274.8</v>
      </c>
    </row>
    <row r="74" spans="1:7" ht="27" customHeight="1">
      <c r="A74" s="305" t="s">
        <v>420</v>
      </c>
      <c r="B74" s="306" t="s">
        <v>441</v>
      </c>
      <c r="C74" s="296" t="s">
        <v>138</v>
      </c>
      <c r="D74" s="296" t="s">
        <v>183</v>
      </c>
      <c r="E74" s="296" t="s">
        <v>469</v>
      </c>
      <c r="F74" s="296"/>
      <c r="G74" s="303">
        <f t="shared" ref="G74" si="6">G76</f>
        <v>35</v>
      </c>
    </row>
    <row r="75" spans="1:7" ht="30.75" customHeight="1">
      <c r="A75" s="257" t="s">
        <v>421</v>
      </c>
      <c r="B75" s="399" t="s">
        <v>341</v>
      </c>
      <c r="C75" s="246" t="s">
        <v>138</v>
      </c>
      <c r="D75" s="246" t="s">
        <v>183</v>
      </c>
      <c r="E75" s="246" t="s">
        <v>469</v>
      </c>
      <c r="F75" s="246" t="s">
        <v>340</v>
      </c>
      <c r="G75" s="251">
        <f>G76</f>
        <v>35</v>
      </c>
    </row>
    <row r="76" spans="1:7" ht="36">
      <c r="A76" s="257" t="s">
        <v>422</v>
      </c>
      <c r="B76" s="245" t="s">
        <v>306</v>
      </c>
      <c r="C76" s="246" t="s">
        <v>138</v>
      </c>
      <c r="D76" s="246" t="s">
        <v>183</v>
      </c>
      <c r="E76" s="246" t="s">
        <v>469</v>
      </c>
      <c r="F76" s="246" t="s">
        <v>253</v>
      </c>
      <c r="G76" s="251">
        <v>35</v>
      </c>
    </row>
    <row r="77" spans="1:7" ht="30.75" customHeight="1">
      <c r="A77" s="305" t="s">
        <v>423</v>
      </c>
      <c r="B77" s="301" t="s">
        <v>536</v>
      </c>
      <c r="C77" s="296" t="s">
        <v>138</v>
      </c>
      <c r="D77" s="296" t="s">
        <v>183</v>
      </c>
      <c r="E77" s="296" t="s">
        <v>537</v>
      </c>
      <c r="F77" s="296"/>
      <c r="G77" s="303">
        <f>G78</f>
        <v>0</v>
      </c>
    </row>
    <row r="78" spans="1:7" ht="30" customHeight="1">
      <c r="A78" s="275" t="s">
        <v>424</v>
      </c>
      <c r="B78" s="399" t="s">
        <v>341</v>
      </c>
      <c r="C78" s="246" t="s">
        <v>138</v>
      </c>
      <c r="D78" s="246" t="s">
        <v>183</v>
      </c>
      <c r="E78" s="246" t="s">
        <v>537</v>
      </c>
      <c r="F78" s="246" t="s">
        <v>340</v>
      </c>
      <c r="G78" s="251">
        <f>G79</f>
        <v>0</v>
      </c>
    </row>
    <row r="79" spans="1:7" ht="30" hidden="1" customHeight="1">
      <c r="A79" s="275" t="s">
        <v>425</v>
      </c>
      <c r="B79" s="245" t="s">
        <v>306</v>
      </c>
      <c r="C79" s="246" t="s">
        <v>138</v>
      </c>
      <c r="D79" s="246" t="s">
        <v>183</v>
      </c>
      <c r="E79" s="246" t="s">
        <v>537</v>
      </c>
      <c r="F79" s="246" t="s">
        <v>253</v>
      </c>
      <c r="G79" s="251"/>
    </row>
    <row r="80" spans="1:7" ht="30" hidden="1" customHeight="1">
      <c r="A80" s="305" t="s">
        <v>442</v>
      </c>
      <c r="B80" s="306" t="s">
        <v>529</v>
      </c>
      <c r="C80" s="296" t="s">
        <v>138</v>
      </c>
      <c r="D80" s="296" t="s">
        <v>183</v>
      </c>
      <c r="E80" s="296" t="s">
        <v>472</v>
      </c>
      <c r="F80" s="296"/>
      <c r="G80" s="318">
        <f>G82</f>
        <v>12</v>
      </c>
    </row>
    <row r="81" spans="1:7" ht="30" hidden="1" customHeight="1">
      <c r="A81" s="257" t="s">
        <v>443</v>
      </c>
      <c r="B81" s="399" t="s">
        <v>341</v>
      </c>
      <c r="C81" s="263" t="s">
        <v>138</v>
      </c>
      <c r="D81" s="263" t="s">
        <v>183</v>
      </c>
      <c r="E81" s="246" t="s">
        <v>472</v>
      </c>
      <c r="F81" s="263" t="s">
        <v>340</v>
      </c>
      <c r="G81" s="251">
        <f>G82</f>
        <v>12</v>
      </c>
    </row>
    <row r="82" spans="1:7" ht="31.5" customHeight="1">
      <c r="A82" s="257" t="s">
        <v>444</v>
      </c>
      <c r="B82" s="245" t="s">
        <v>306</v>
      </c>
      <c r="C82" s="263" t="s">
        <v>138</v>
      </c>
      <c r="D82" s="263" t="s">
        <v>183</v>
      </c>
      <c r="E82" s="246" t="s">
        <v>472</v>
      </c>
      <c r="F82" s="263" t="s">
        <v>253</v>
      </c>
      <c r="G82" s="251">
        <v>12</v>
      </c>
    </row>
    <row r="83" spans="1:7" ht="30.75" customHeight="1">
      <c r="A83" s="305" t="s">
        <v>459</v>
      </c>
      <c r="B83" s="306" t="s">
        <v>455</v>
      </c>
      <c r="C83" s="296" t="s">
        <v>138</v>
      </c>
      <c r="D83" s="296" t="s">
        <v>183</v>
      </c>
      <c r="E83" s="296" t="s">
        <v>470</v>
      </c>
      <c r="F83" s="296"/>
      <c r="G83" s="303">
        <f>G85</f>
        <v>80</v>
      </c>
    </row>
    <row r="84" spans="1:7" ht="31.5" customHeight="1">
      <c r="A84" s="257" t="s">
        <v>460</v>
      </c>
      <c r="B84" s="399" t="s">
        <v>341</v>
      </c>
      <c r="C84" s="246" t="s">
        <v>138</v>
      </c>
      <c r="D84" s="246" t="s">
        <v>183</v>
      </c>
      <c r="E84" s="246" t="s">
        <v>470</v>
      </c>
      <c r="F84" s="246" t="s">
        <v>340</v>
      </c>
      <c r="G84" s="251">
        <f>G85</f>
        <v>80</v>
      </c>
    </row>
    <row r="85" spans="1:7" ht="51.75" customHeight="1">
      <c r="A85" s="257" t="s">
        <v>461</v>
      </c>
      <c r="B85" s="245" t="s">
        <v>306</v>
      </c>
      <c r="C85" s="246" t="s">
        <v>138</v>
      </c>
      <c r="D85" s="246" t="s">
        <v>183</v>
      </c>
      <c r="E85" s="246" t="s">
        <v>470</v>
      </c>
      <c r="F85" s="246" t="s">
        <v>253</v>
      </c>
      <c r="G85" s="251">
        <v>80</v>
      </c>
    </row>
    <row r="86" spans="1:7" ht="35.25" customHeight="1">
      <c r="A86" s="391" t="s">
        <v>525</v>
      </c>
      <c r="B86" s="306" t="s">
        <v>397</v>
      </c>
      <c r="C86" s="296" t="s">
        <v>138</v>
      </c>
      <c r="D86" s="296" t="s">
        <v>183</v>
      </c>
      <c r="E86" s="296" t="s">
        <v>473</v>
      </c>
      <c r="F86" s="296"/>
      <c r="G86" s="303">
        <f>G88</f>
        <v>6</v>
      </c>
    </row>
    <row r="87" spans="1:7" ht="27.75" customHeight="1">
      <c r="A87" s="392" t="s">
        <v>526</v>
      </c>
      <c r="B87" s="399" t="s">
        <v>341</v>
      </c>
      <c r="C87" s="246" t="s">
        <v>138</v>
      </c>
      <c r="D87" s="246" t="s">
        <v>183</v>
      </c>
      <c r="E87" s="246" t="s">
        <v>473</v>
      </c>
      <c r="F87" s="246" t="s">
        <v>340</v>
      </c>
      <c r="G87" s="251">
        <f>G88</f>
        <v>6</v>
      </c>
    </row>
    <row r="88" spans="1:7" ht="69" customHeight="1">
      <c r="A88" s="392" t="s">
        <v>527</v>
      </c>
      <c r="B88" s="245" t="s">
        <v>306</v>
      </c>
      <c r="C88" s="246" t="s">
        <v>138</v>
      </c>
      <c r="D88" s="246" t="s">
        <v>183</v>
      </c>
      <c r="E88" s="246" t="s">
        <v>473</v>
      </c>
      <c r="F88" s="246" t="s">
        <v>253</v>
      </c>
      <c r="G88" s="251">
        <v>6</v>
      </c>
    </row>
    <row r="89" spans="1:7" ht="26.25" customHeight="1">
      <c r="A89" s="391" t="s">
        <v>533</v>
      </c>
      <c r="B89" s="301" t="s">
        <v>528</v>
      </c>
      <c r="C89" s="296" t="s">
        <v>138</v>
      </c>
      <c r="D89" s="296" t="s">
        <v>183</v>
      </c>
      <c r="E89" s="296" t="s">
        <v>530</v>
      </c>
      <c r="F89" s="296" t="s">
        <v>253</v>
      </c>
      <c r="G89" s="303">
        <f>G90</f>
        <v>162.30000000000001</v>
      </c>
    </row>
    <row r="90" spans="1:7" ht="27.75" customHeight="1">
      <c r="A90" s="392" t="s">
        <v>534</v>
      </c>
      <c r="B90" s="399" t="s">
        <v>341</v>
      </c>
      <c r="C90" s="246" t="s">
        <v>138</v>
      </c>
      <c r="D90" s="246" t="s">
        <v>183</v>
      </c>
      <c r="E90" s="246" t="s">
        <v>530</v>
      </c>
      <c r="F90" s="246" t="s">
        <v>340</v>
      </c>
      <c r="G90" s="251">
        <f>G91</f>
        <v>162.30000000000001</v>
      </c>
    </row>
    <row r="91" spans="1:7" ht="48.75" customHeight="1">
      <c r="A91" s="392" t="s">
        <v>535</v>
      </c>
      <c r="B91" s="245" t="s">
        <v>306</v>
      </c>
      <c r="C91" s="246" t="s">
        <v>138</v>
      </c>
      <c r="D91" s="246" t="s">
        <v>183</v>
      </c>
      <c r="E91" s="246" t="s">
        <v>530</v>
      </c>
      <c r="F91" s="246" t="s">
        <v>253</v>
      </c>
      <c r="G91" s="251">
        <v>162.30000000000001</v>
      </c>
    </row>
    <row r="92" spans="1:7" ht="27.75" customHeight="1">
      <c r="A92" s="305" t="s">
        <v>630</v>
      </c>
      <c r="B92" s="306" t="s">
        <v>516</v>
      </c>
      <c r="C92" s="307" t="s">
        <v>138</v>
      </c>
      <c r="D92" s="307" t="s">
        <v>183</v>
      </c>
      <c r="E92" s="307" t="s">
        <v>517</v>
      </c>
      <c r="F92" s="307"/>
      <c r="G92" s="312">
        <f>G93</f>
        <v>7.2</v>
      </c>
    </row>
    <row r="93" spans="1:7" ht="27.75" customHeight="1">
      <c r="A93" s="254" t="s">
        <v>631</v>
      </c>
      <c r="B93" s="399" t="s">
        <v>341</v>
      </c>
      <c r="C93" s="246" t="s">
        <v>138</v>
      </c>
      <c r="D93" s="246" t="s">
        <v>183</v>
      </c>
      <c r="E93" s="253" t="s">
        <v>517</v>
      </c>
      <c r="F93" s="246" t="s">
        <v>340</v>
      </c>
      <c r="G93" s="251">
        <f>G94</f>
        <v>7.2</v>
      </c>
    </row>
    <row r="94" spans="1:7" ht="28.5" customHeight="1">
      <c r="A94" s="254" t="s">
        <v>632</v>
      </c>
      <c r="B94" s="245" t="s">
        <v>306</v>
      </c>
      <c r="C94" s="246" t="s">
        <v>138</v>
      </c>
      <c r="D94" s="246" t="s">
        <v>183</v>
      </c>
      <c r="E94" s="253" t="s">
        <v>517</v>
      </c>
      <c r="F94" s="246" t="s">
        <v>253</v>
      </c>
      <c r="G94" s="251">
        <v>7.2</v>
      </c>
    </row>
    <row r="95" spans="1:7" ht="39.75" customHeight="1" thickBot="1">
      <c r="A95" s="386" t="s">
        <v>50</v>
      </c>
      <c r="B95" s="387" t="s">
        <v>37</v>
      </c>
      <c r="C95" s="388" t="s">
        <v>138</v>
      </c>
      <c r="D95" s="388" t="s">
        <v>31</v>
      </c>
      <c r="E95" s="388"/>
      <c r="F95" s="388"/>
      <c r="G95" s="390">
        <f>G96</f>
        <v>46.5</v>
      </c>
    </row>
    <row r="96" spans="1:7" ht="100.5" hidden="1" customHeight="1">
      <c r="A96" s="324" t="s">
        <v>64</v>
      </c>
      <c r="B96" s="325" t="s">
        <v>180</v>
      </c>
      <c r="C96" s="295" t="s">
        <v>138</v>
      </c>
      <c r="D96" s="295" t="s">
        <v>21</v>
      </c>
      <c r="E96" s="295"/>
      <c r="F96" s="295"/>
      <c r="G96" s="299">
        <f>G97+G100</f>
        <v>46.5</v>
      </c>
    </row>
    <row r="97" spans="1:7" ht="36" hidden="1" customHeight="1">
      <c r="A97" s="309" t="s">
        <v>65</v>
      </c>
      <c r="B97" s="306" t="s">
        <v>404</v>
      </c>
      <c r="C97" s="296" t="s">
        <v>138</v>
      </c>
      <c r="D97" s="296" t="s">
        <v>21</v>
      </c>
      <c r="E97" s="334" t="s">
        <v>475</v>
      </c>
      <c r="F97" s="296"/>
      <c r="G97" s="303">
        <f>G98</f>
        <v>0</v>
      </c>
    </row>
    <row r="98" spans="1:7" ht="35.25" hidden="1" customHeight="1">
      <c r="A98" s="275" t="s">
        <v>168</v>
      </c>
      <c r="B98" s="399" t="s">
        <v>341</v>
      </c>
      <c r="C98" s="263" t="s">
        <v>138</v>
      </c>
      <c r="D98" s="263" t="s">
        <v>21</v>
      </c>
      <c r="E98" s="263" t="s">
        <v>475</v>
      </c>
      <c r="F98" s="263" t="s">
        <v>340</v>
      </c>
      <c r="G98" s="269">
        <f>G99</f>
        <v>0</v>
      </c>
    </row>
    <row r="99" spans="1:7" ht="65.25" customHeight="1">
      <c r="A99" s="275" t="s">
        <v>356</v>
      </c>
      <c r="B99" s="245" t="s">
        <v>306</v>
      </c>
      <c r="C99" s="263" t="s">
        <v>138</v>
      </c>
      <c r="D99" s="263" t="s">
        <v>21</v>
      </c>
      <c r="E99" s="263" t="s">
        <v>475</v>
      </c>
      <c r="F99" s="263" t="s">
        <v>253</v>
      </c>
      <c r="G99" s="269"/>
    </row>
    <row r="100" spans="1:7" ht="33.75" customHeight="1">
      <c r="A100" s="309" t="s">
        <v>374</v>
      </c>
      <c r="B100" s="306" t="s">
        <v>405</v>
      </c>
      <c r="C100" s="296" t="s">
        <v>138</v>
      </c>
      <c r="D100" s="296" t="s">
        <v>21</v>
      </c>
      <c r="E100" s="334" t="s">
        <v>476</v>
      </c>
      <c r="F100" s="296"/>
      <c r="G100" s="303">
        <f>G101</f>
        <v>46.5</v>
      </c>
    </row>
    <row r="101" spans="1:7" ht="27.75" customHeight="1">
      <c r="A101" s="275" t="s">
        <v>375</v>
      </c>
      <c r="B101" s="399" t="s">
        <v>341</v>
      </c>
      <c r="C101" s="263" t="s">
        <v>138</v>
      </c>
      <c r="D101" s="263" t="s">
        <v>21</v>
      </c>
      <c r="E101" s="263" t="s">
        <v>476</v>
      </c>
      <c r="F101" s="263" t="s">
        <v>340</v>
      </c>
      <c r="G101" s="269">
        <f>G102</f>
        <v>46.5</v>
      </c>
    </row>
    <row r="102" spans="1:7" ht="21" customHeight="1" thickBot="1">
      <c r="A102" s="275" t="s">
        <v>376</v>
      </c>
      <c r="B102" s="245" t="s">
        <v>306</v>
      </c>
      <c r="C102" s="263" t="s">
        <v>138</v>
      </c>
      <c r="D102" s="263" t="s">
        <v>21</v>
      </c>
      <c r="E102" s="263" t="s">
        <v>476</v>
      </c>
      <c r="F102" s="263" t="s">
        <v>253</v>
      </c>
      <c r="G102" s="269">
        <v>46.5</v>
      </c>
    </row>
    <row r="103" spans="1:7" ht="15.75" customHeight="1" thickBot="1">
      <c r="A103" s="319" t="s">
        <v>76</v>
      </c>
      <c r="B103" s="326" t="s">
        <v>313</v>
      </c>
      <c r="C103" s="321" t="s">
        <v>138</v>
      </c>
      <c r="D103" s="355" t="s">
        <v>314</v>
      </c>
      <c r="E103" s="358"/>
      <c r="F103" s="356"/>
      <c r="G103" s="323">
        <f>G104+G111+G115</f>
        <v>34019.9</v>
      </c>
    </row>
    <row r="104" spans="1:7" ht="15.75" customHeight="1">
      <c r="A104" s="420" t="s">
        <v>66</v>
      </c>
      <c r="B104" s="408" t="s">
        <v>402</v>
      </c>
      <c r="C104" s="423" t="s">
        <v>138</v>
      </c>
      <c r="D104" s="423" t="s">
        <v>399</v>
      </c>
      <c r="E104" s="295"/>
      <c r="F104" s="409"/>
      <c r="G104" s="411">
        <f>G108+G105</f>
        <v>140</v>
      </c>
    </row>
    <row r="105" spans="1:7" ht="21" customHeight="1">
      <c r="A105" s="391" t="s">
        <v>67</v>
      </c>
      <c r="B105" s="301" t="s">
        <v>554</v>
      </c>
      <c r="C105" s="331">
        <v>993</v>
      </c>
      <c r="D105" s="295" t="s">
        <v>399</v>
      </c>
      <c r="E105" s="295" t="s">
        <v>555</v>
      </c>
      <c r="F105" s="296"/>
      <c r="G105" s="303">
        <f>G106</f>
        <v>140</v>
      </c>
    </row>
    <row r="106" spans="1:7" ht="43.5" customHeight="1">
      <c r="A106" s="392" t="s">
        <v>140</v>
      </c>
      <c r="B106" s="399" t="s">
        <v>401</v>
      </c>
      <c r="C106" s="258">
        <v>993</v>
      </c>
      <c r="D106" s="246" t="s">
        <v>399</v>
      </c>
      <c r="E106" s="246" t="s">
        <v>555</v>
      </c>
      <c r="F106" s="246" t="s">
        <v>345</v>
      </c>
      <c r="G106" s="251">
        <f>G107</f>
        <v>140</v>
      </c>
    </row>
    <row r="107" spans="1:7" ht="72" hidden="1">
      <c r="A107" s="392" t="s">
        <v>357</v>
      </c>
      <c r="B107" s="245" t="s">
        <v>403</v>
      </c>
      <c r="C107" s="258">
        <v>993</v>
      </c>
      <c r="D107" s="246" t="s">
        <v>399</v>
      </c>
      <c r="E107" s="246" t="s">
        <v>555</v>
      </c>
      <c r="F107" s="246" t="s">
        <v>400</v>
      </c>
      <c r="G107" s="251">
        <v>140</v>
      </c>
    </row>
    <row r="108" spans="1:7" ht="23.25" hidden="1" customHeight="1">
      <c r="A108" s="324" t="s">
        <v>551</v>
      </c>
      <c r="B108" s="330" t="s">
        <v>531</v>
      </c>
      <c r="C108" s="331">
        <v>993</v>
      </c>
      <c r="D108" s="295" t="s">
        <v>399</v>
      </c>
      <c r="E108" s="295" t="s">
        <v>556</v>
      </c>
      <c r="F108" s="295"/>
      <c r="G108" s="299">
        <f>G109</f>
        <v>0</v>
      </c>
    </row>
    <row r="109" spans="1:7" ht="38.25" hidden="1" customHeight="1" thickBot="1">
      <c r="A109" s="257" t="s">
        <v>552</v>
      </c>
      <c r="B109" s="399" t="s">
        <v>401</v>
      </c>
      <c r="C109" s="258">
        <v>993</v>
      </c>
      <c r="D109" s="246" t="s">
        <v>399</v>
      </c>
      <c r="E109" s="246" t="s">
        <v>556</v>
      </c>
      <c r="F109" s="246" t="s">
        <v>345</v>
      </c>
      <c r="G109" s="251">
        <f>G110</f>
        <v>0</v>
      </c>
    </row>
    <row r="110" spans="1:7" ht="21" customHeight="1" thickBot="1">
      <c r="A110" s="257" t="s">
        <v>553</v>
      </c>
      <c r="B110" s="245" t="s">
        <v>403</v>
      </c>
      <c r="C110" s="258">
        <v>993</v>
      </c>
      <c r="D110" s="246" t="s">
        <v>399</v>
      </c>
      <c r="E110" s="246" t="s">
        <v>556</v>
      </c>
      <c r="F110" s="246" t="s">
        <v>400</v>
      </c>
      <c r="G110" s="251"/>
    </row>
    <row r="111" spans="1:7" ht="13.5" thickBot="1">
      <c r="A111" s="319" t="s">
        <v>279</v>
      </c>
      <c r="B111" s="320" t="s">
        <v>224</v>
      </c>
      <c r="C111" s="321" t="s">
        <v>138</v>
      </c>
      <c r="D111" s="321" t="s">
        <v>223</v>
      </c>
      <c r="E111" s="321"/>
      <c r="F111" s="321"/>
      <c r="G111" s="323">
        <f>G112</f>
        <v>33833.9</v>
      </c>
    </row>
    <row r="112" spans="1:7" ht="29.25" customHeight="1">
      <c r="A112" s="324" t="s">
        <v>281</v>
      </c>
      <c r="B112" s="330" t="s">
        <v>257</v>
      </c>
      <c r="C112" s="331">
        <v>993</v>
      </c>
      <c r="D112" s="295" t="s">
        <v>223</v>
      </c>
      <c r="E112" s="296" t="s">
        <v>477</v>
      </c>
      <c r="F112" s="295"/>
      <c r="G112" s="299">
        <f>G114</f>
        <v>33833.9</v>
      </c>
    </row>
    <row r="113" spans="1:7" ht="27.75" customHeight="1">
      <c r="A113" s="257" t="s">
        <v>446</v>
      </c>
      <c r="B113" s="399" t="s">
        <v>341</v>
      </c>
      <c r="C113" s="258">
        <v>993</v>
      </c>
      <c r="D113" s="246" t="s">
        <v>223</v>
      </c>
      <c r="E113" s="246" t="s">
        <v>477</v>
      </c>
      <c r="F113" s="246" t="s">
        <v>340</v>
      </c>
      <c r="G113" s="251">
        <f>G114</f>
        <v>33833.9</v>
      </c>
    </row>
    <row r="114" spans="1:7" ht="21" customHeight="1" thickBot="1">
      <c r="A114" s="257" t="s">
        <v>447</v>
      </c>
      <c r="B114" s="245" t="s">
        <v>306</v>
      </c>
      <c r="C114" s="258">
        <v>993</v>
      </c>
      <c r="D114" s="246" t="s">
        <v>223</v>
      </c>
      <c r="E114" s="246" t="s">
        <v>477</v>
      </c>
      <c r="F114" s="246" t="s">
        <v>253</v>
      </c>
      <c r="G114" s="251">
        <f>34705-871.1</f>
        <v>33833.9</v>
      </c>
    </row>
    <row r="115" spans="1:7" ht="24.75" thickBot="1">
      <c r="A115" s="319" t="s">
        <v>445</v>
      </c>
      <c r="B115" s="320" t="s">
        <v>452</v>
      </c>
      <c r="C115" s="321" t="s">
        <v>138</v>
      </c>
      <c r="D115" s="321" t="s">
        <v>451</v>
      </c>
      <c r="E115" s="321"/>
      <c r="F115" s="321"/>
      <c r="G115" s="323">
        <f>G116</f>
        <v>46</v>
      </c>
    </row>
    <row r="116" spans="1:7" ht="29.25" customHeight="1">
      <c r="A116" s="324" t="s">
        <v>448</v>
      </c>
      <c r="B116" s="330" t="s">
        <v>453</v>
      </c>
      <c r="C116" s="331">
        <v>993</v>
      </c>
      <c r="D116" s="295" t="s">
        <v>451</v>
      </c>
      <c r="E116" s="296" t="s">
        <v>478</v>
      </c>
      <c r="F116" s="295"/>
      <c r="G116" s="299">
        <f>G117</f>
        <v>46</v>
      </c>
    </row>
    <row r="117" spans="1:7" ht="27.75" customHeight="1">
      <c r="A117" s="257" t="s">
        <v>449</v>
      </c>
      <c r="B117" s="399" t="s">
        <v>341</v>
      </c>
      <c r="C117" s="258">
        <v>993</v>
      </c>
      <c r="D117" s="246" t="s">
        <v>451</v>
      </c>
      <c r="E117" s="246" t="s">
        <v>478</v>
      </c>
      <c r="F117" s="246" t="s">
        <v>340</v>
      </c>
      <c r="G117" s="251">
        <f>G118</f>
        <v>46</v>
      </c>
    </row>
    <row r="118" spans="1:7" ht="36.75" thickBot="1">
      <c r="A118" s="257" t="s">
        <v>450</v>
      </c>
      <c r="B118" s="245" t="s">
        <v>306</v>
      </c>
      <c r="C118" s="258">
        <v>993</v>
      </c>
      <c r="D118" s="246" t="s">
        <v>451</v>
      </c>
      <c r="E118" s="246" t="s">
        <v>478</v>
      </c>
      <c r="F118" s="246" t="s">
        <v>253</v>
      </c>
      <c r="G118" s="251">
        <v>46</v>
      </c>
    </row>
    <row r="119" spans="1:7" ht="13.5" thickBot="1">
      <c r="A119" s="319" t="s">
        <v>78</v>
      </c>
      <c r="B119" s="320" t="s">
        <v>32</v>
      </c>
      <c r="C119" s="321" t="s">
        <v>138</v>
      </c>
      <c r="D119" s="321" t="s">
        <v>33</v>
      </c>
      <c r="E119" s="321"/>
      <c r="F119" s="321"/>
      <c r="G119" s="323">
        <f>G120</f>
        <v>50593.4</v>
      </c>
    </row>
    <row r="120" spans="1:7" ht="27.75" customHeight="1" thickBot="1">
      <c r="A120" s="319" t="s">
        <v>68</v>
      </c>
      <c r="B120" s="335" t="s">
        <v>322</v>
      </c>
      <c r="C120" s="321" t="s">
        <v>138</v>
      </c>
      <c r="D120" s="321" t="s">
        <v>80</v>
      </c>
      <c r="E120" s="321"/>
      <c r="F120" s="321"/>
      <c r="G120" s="323">
        <f>G121+G131+G141+G151</f>
        <v>50593.4</v>
      </c>
    </row>
    <row r="121" spans="1:7" ht="43.5" customHeight="1" thickBot="1">
      <c r="A121" s="420" t="s">
        <v>69</v>
      </c>
      <c r="B121" s="510" t="s">
        <v>407</v>
      </c>
      <c r="C121" s="409">
        <v>993</v>
      </c>
      <c r="D121" s="409" t="s">
        <v>80</v>
      </c>
      <c r="E121" s="409" t="s">
        <v>479</v>
      </c>
      <c r="F121" s="409"/>
      <c r="G121" s="411">
        <f>G122+G125+G128</f>
        <v>16391.2</v>
      </c>
    </row>
    <row r="122" spans="1:7" ht="33" customHeight="1">
      <c r="A122" s="511" t="s">
        <v>69</v>
      </c>
      <c r="B122" s="512" t="s">
        <v>258</v>
      </c>
      <c r="C122" s="354">
        <v>993</v>
      </c>
      <c r="D122" s="354" t="s">
        <v>80</v>
      </c>
      <c r="E122" s="354" t="s">
        <v>480</v>
      </c>
      <c r="F122" s="354"/>
      <c r="G122" s="515">
        <f>G123</f>
        <v>14779.5</v>
      </c>
    </row>
    <row r="123" spans="1:7" ht="27" customHeight="1">
      <c r="A123" s="257" t="s">
        <v>70</v>
      </c>
      <c r="B123" s="399" t="s">
        <v>341</v>
      </c>
      <c r="C123" s="246">
        <v>993</v>
      </c>
      <c r="D123" s="246" t="s">
        <v>80</v>
      </c>
      <c r="E123" s="246" t="s">
        <v>480</v>
      </c>
      <c r="F123" s="246" t="s">
        <v>340</v>
      </c>
      <c r="G123" s="251">
        <f>G124</f>
        <v>14779.5</v>
      </c>
    </row>
    <row r="124" spans="1:7" ht="27" customHeight="1">
      <c r="A124" s="257" t="s">
        <v>542</v>
      </c>
      <c r="B124" s="245" t="s">
        <v>306</v>
      </c>
      <c r="C124" s="246">
        <v>993</v>
      </c>
      <c r="D124" s="246" t="s">
        <v>80</v>
      </c>
      <c r="E124" s="246" t="s">
        <v>480</v>
      </c>
      <c r="F124" s="246" t="s">
        <v>253</v>
      </c>
      <c r="G124" s="251">
        <f>12706.2+1385.6+250+377.9+59.8</f>
        <v>14779.5</v>
      </c>
    </row>
    <row r="125" spans="1:7" ht="27" customHeight="1">
      <c r="A125" s="257" t="s">
        <v>259</v>
      </c>
      <c r="B125" s="396" t="s">
        <v>532</v>
      </c>
      <c r="C125" s="397" t="s">
        <v>138</v>
      </c>
      <c r="D125" s="398" t="s">
        <v>80</v>
      </c>
      <c r="E125" s="295" t="s">
        <v>543</v>
      </c>
      <c r="F125" s="398"/>
      <c r="G125" s="303">
        <f>G127</f>
        <v>1229.8</v>
      </c>
    </row>
    <row r="126" spans="1:7" ht="27" customHeight="1">
      <c r="A126" s="257" t="s">
        <v>260</v>
      </c>
      <c r="B126" s="399" t="s">
        <v>341</v>
      </c>
      <c r="C126" s="400" t="s">
        <v>138</v>
      </c>
      <c r="D126" s="401" t="s">
        <v>80</v>
      </c>
      <c r="E126" s="261" t="s">
        <v>543</v>
      </c>
      <c r="F126" s="402" t="s">
        <v>340</v>
      </c>
      <c r="G126" s="269">
        <f>G127</f>
        <v>1229.8</v>
      </c>
    </row>
    <row r="127" spans="1:7" ht="49.5" customHeight="1">
      <c r="A127" s="275" t="s">
        <v>323</v>
      </c>
      <c r="B127" s="500" t="s">
        <v>306</v>
      </c>
      <c r="C127" s="400" t="s">
        <v>138</v>
      </c>
      <c r="D127" s="401" t="s">
        <v>80</v>
      </c>
      <c r="E127" s="357" t="s">
        <v>543</v>
      </c>
      <c r="F127" s="401" t="s">
        <v>253</v>
      </c>
      <c r="G127" s="269">
        <f>229.3+1217-244.8+28.3</f>
        <v>1229.8</v>
      </c>
    </row>
    <row r="128" spans="1:7" ht="27" customHeight="1">
      <c r="A128" s="257" t="s">
        <v>261</v>
      </c>
      <c r="B128" s="301" t="s">
        <v>579</v>
      </c>
      <c r="C128" s="397" t="s">
        <v>138</v>
      </c>
      <c r="D128" s="398" t="s">
        <v>80</v>
      </c>
      <c r="E128" s="296" t="s">
        <v>580</v>
      </c>
      <c r="F128" s="402"/>
      <c r="G128" s="303">
        <f>G129</f>
        <v>381.9</v>
      </c>
    </row>
    <row r="129" spans="1:7" ht="27" customHeight="1">
      <c r="A129" s="257" t="s">
        <v>262</v>
      </c>
      <c r="B129" s="399" t="s">
        <v>341</v>
      </c>
      <c r="C129" s="504" t="s">
        <v>138</v>
      </c>
      <c r="D129" s="402" t="s">
        <v>80</v>
      </c>
      <c r="E129" s="246" t="s">
        <v>580</v>
      </c>
      <c r="F129" s="402" t="s">
        <v>340</v>
      </c>
      <c r="G129" s="251">
        <f>G130</f>
        <v>381.9</v>
      </c>
    </row>
    <row r="130" spans="1:7" ht="49.5" customHeight="1">
      <c r="A130" s="257" t="s">
        <v>326</v>
      </c>
      <c r="B130" s="245" t="s">
        <v>306</v>
      </c>
      <c r="C130" s="504" t="s">
        <v>138</v>
      </c>
      <c r="D130" s="402" t="s">
        <v>80</v>
      </c>
      <c r="E130" s="246" t="s">
        <v>580</v>
      </c>
      <c r="F130" s="402" t="s">
        <v>253</v>
      </c>
      <c r="G130" s="251">
        <f>245+55+30+51.9</f>
        <v>381.9</v>
      </c>
    </row>
    <row r="131" spans="1:7" ht="17.25" customHeight="1" thickBot="1">
      <c r="A131" s="386" t="s">
        <v>259</v>
      </c>
      <c r="B131" s="501" t="s">
        <v>263</v>
      </c>
      <c r="C131" s="388">
        <v>993</v>
      </c>
      <c r="D131" s="388" t="s">
        <v>80</v>
      </c>
      <c r="E131" s="388" t="s">
        <v>481</v>
      </c>
      <c r="F131" s="388"/>
      <c r="G131" s="390">
        <f>G132++G135+G138</f>
        <v>11515.7</v>
      </c>
    </row>
    <row r="132" spans="1:7" ht="29.25" customHeight="1">
      <c r="A132" s="578" t="s">
        <v>260</v>
      </c>
      <c r="B132" s="558" t="s">
        <v>264</v>
      </c>
      <c r="C132" s="559" t="s">
        <v>138</v>
      </c>
      <c r="D132" s="559" t="s">
        <v>80</v>
      </c>
      <c r="E132" s="246" t="s">
        <v>482</v>
      </c>
      <c r="F132" s="559"/>
      <c r="G132" s="561">
        <f>G133</f>
        <v>700</v>
      </c>
    </row>
    <row r="133" spans="1:7" ht="28.5" customHeight="1">
      <c r="A133" s="579" t="s">
        <v>323</v>
      </c>
      <c r="B133" s="399" t="s">
        <v>341</v>
      </c>
      <c r="C133" s="402" t="s">
        <v>138</v>
      </c>
      <c r="D133" s="402" t="s">
        <v>80</v>
      </c>
      <c r="E133" s="246" t="s">
        <v>482</v>
      </c>
      <c r="F133" s="402" t="s">
        <v>340</v>
      </c>
      <c r="G133" s="251">
        <f>G134</f>
        <v>700</v>
      </c>
    </row>
    <row r="134" spans="1:7" ht="36">
      <c r="A134" s="579" t="s">
        <v>358</v>
      </c>
      <c r="B134" s="245" t="s">
        <v>306</v>
      </c>
      <c r="C134" s="402" t="s">
        <v>138</v>
      </c>
      <c r="D134" s="402" t="s">
        <v>80</v>
      </c>
      <c r="E134" s="261" t="s">
        <v>482</v>
      </c>
      <c r="F134" s="402" t="s">
        <v>253</v>
      </c>
      <c r="G134" s="251">
        <f>600+100</f>
        <v>700</v>
      </c>
    </row>
    <row r="135" spans="1:7" ht="29.25" customHeight="1">
      <c r="A135" s="579" t="s">
        <v>324</v>
      </c>
      <c r="B135" s="417" t="s">
        <v>81</v>
      </c>
      <c r="C135" s="504" t="s">
        <v>138</v>
      </c>
      <c r="D135" s="402" t="s">
        <v>80</v>
      </c>
      <c r="E135" s="261" t="s">
        <v>483</v>
      </c>
      <c r="F135" s="402"/>
      <c r="G135" s="564">
        <f>G136</f>
        <v>899.7</v>
      </c>
    </row>
    <row r="136" spans="1:7" ht="25.5" customHeight="1">
      <c r="A136" s="579" t="s">
        <v>325</v>
      </c>
      <c r="B136" s="399" t="s">
        <v>341</v>
      </c>
      <c r="C136" s="504" t="s">
        <v>138</v>
      </c>
      <c r="D136" s="402" t="s">
        <v>80</v>
      </c>
      <c r="E136" s="261" t="s">
        <v>483</v>
      </c>
      <c r="F136" s="402" t="s">
        <v>340</v>
      </c>
      <c r="G136" s="564">
        <f>G137</f>
        <v>899.7</v>
      </c>
    </row>
    <row r="137" spans="1:7" ht="21" customHeight="1">
      <c r="A137" s="579" t="s">
        <v>359</v>
      </c>
      <c r="B137" s="245" t="s">
        <v>306</v>
      </c>
      <c r="C137" s="504" t="s">
        <v>138</v>
      </c>
      <c r="D137" s="402" t="s">
        <v>80</v>
      </c>
      <c r="E137" s="261" t="s">
        <v>483</v>
      </c>
      <c r="F137" s="402" t="s">
        <v>253</v>
      </c>
      <c r="G137" s="564">
        <f>750+149.7</f>
        <v>899.7</v>
      </c>
    </row>
    <row r="138" spans="1:7" ht="27" customHeight="1">
      <c r="A138" s="579" t="s">
        <v>426</v>
      </c>
      <c r="B138" s="565" t="s">
        <v>621</v>
      </c>
      <c r="C138" s="580">
        <v>993</v>
      </c>
      <c r="D138" s="402" t="s">
        <v>80</v>
      </c>
      <c r="E138" s="261" t="s">
        <v>484</v>
      </c>
      <c r="F138" s="402"/>
      <c r="G138" s="251">
        <f>G139</f>
        <v>9916</v>
      </c>
    </row>
    <row r="139" spans="1:7" ht="24" customHeight="1">
      <c r="A139" s="581" t="s">
        <v>427</v>
      </c>
      <c r="B139" s="399" t="s">
        <v>341</v>
      </c>
      <c r="C139" s="582">
        <v>993</v>
      </c>
      <c r="D139" s="401" t="s">
        <v>80</v>
      </c>
      <c r="E139" s="261" t="s">
        <v>484</v>
      </c>
      <c r="F139" s="402" t="s">
        <v>340</v>
      </c>
      <c r="G139" s="251">
        <f>G140</f>
        <v>9916</v>
      </c>
    </row>
    <row r="140" spans="1:7" ht="18.75" customHeight="1">
      <c r="A140" s="581" t="s">
        <v>428</v>
      </c>
      <c r="B140" s="245" t="s">
        <v>306</v>
      </c>
      <c r="C140" s="582">
        <v>993</v>
      </c>
      <c r="D140" s="401" t="s">
        <v>80</v>
      </c>
      <c r="E140" s="261" t="s">
        <v>484</v>
      </c>
      <c r="F140" s="402" t="s">
        <v>253</v>
      </c>
      <c r="G140" s="251">
        <f>9450+800+13-347</f>
        <v>9916</v>
      </c>
    </row>
    <row r="141" spans="1:7" ht="13.5" hidden="1" thickBot="1">
      <c r="A141" s="319" t="s">
        <v>261</v>
      </c>
      <c r="B141" s="332" t="s">
        <v>265</v>
      </c>
      <c r="C141" s="321">
        <v>993</v>
      </c>
      <c r="D141" s="321" t="s">
        <v>80</v>
      </c>
      <c r="E141" s="295" t="s">
        <v>488</v>
      </c>
      <c r="F141" s="321"/>
      <c r="G141" s="323">
        <f>G142+G145+G148</f>
        <v>550</v>
      </c>
    </row>
    <row r="142" spans="1:7" ht="28.5" hidden="1" customHeight="1">
      <c r="A142" s="583" t="s">
        <v>262</v>
      </c>
      <c r="B142" s="567" t="s">
        <v>266</v>
      </c>
      <c r="C142" s="584" t="s">
        <v>138</v>
      </c>
      <c r="D142" s="559" t="s">
        <v>80</v>
      </c>
      <c r="E142" s="261" t="s">
        <v>485</v>
      </c>
      <c r="F142" s="559"/>
      <c r="G142" s="561">
        <f t="shared" ref="G142" si="7">G144</f>
        <v>0</v>
      </c>
    </row>
    <row r="143" spans="1:7" ht="30" hidden="1" customHeight="1">
      <c r="A143" s="579" t="s">
        <v>326</v>
      </c>
      <c r="B143" s="399" t="s">
        <v>341</v>
      </c>
      <c r="C143" s="584" t="s">
        <v>138</v>
      </c>
      <c r="D143" s="559" t="s">
        <v>80</v>
      </c>
      <c r="E143" s="261" t="s">
        <v>485</v>
      </c>
      <c r="F143" s="559" t="s">
        <v>340</v>
      </c>
      <c r="G143" s="251">
        <f>G144</f>
        <v>0</v>
      </c>
    </row>
    <row r="144" spans="1:7" ht="29.25" customHeight="1">
      <c r="A144" s="585" t="s">
        <v>360</v>
      </c>
      <c r="B144" s="245" t="s">
        <v>306</v>
      </c>
      <c r="C144" s="584" t="s">
        <v>138</v>
      </c>
      <c r="D144" s="559" t="s">
        <v>80</v>
      </c>
      <c r="E144" s="261" t="s">
        <v>485</v>
      </c>
      <c r="F144" s="559" t="s">
        <v>253</v>
      </c>
      <c r="G144" s="251">
        <v>0</v>
      </c>
    </row>
    <row r="145" spans="1:7" ht="29.25" customHeight="1">
      <c r="A145" s="581" t="s">
        <v>327</v>
      </c>
      <c r="B145" s="570" t="s">
        <v>408</v>
      </c>
      <c r="C145" s="400" t="s">
        <v>138</v>
      </c>
      <c r="D145" s="401" t="s">
        <v>80</v>
      </c>
      <c r="E145" s="261" t="s">
        <v>486</v>
      </c>
      <c r="F145" s="401"/>
      <c r="G145" s="586">
        <f>G147</f>
        <v>500</v>
      </c>
    </row>
    <row r="146" spans="1:7" ht="27" customHeight="1">
      <c r="A146" s="581" t="s">
        <v>328</v>
      </c>
      <c r="B146" s="399" t="s">
        <v>341</v>
      </c>
      <c r="C146" s="400" t="s">
        <v>138</v>
      </c>
      <c r="D146" s="401" t="s">
        <v>80</v>
      </c>
      <c r="E146" s="261" t="s">
        <v>486</v>
      </c>
      <c r="F146" s="401" t="s">
        <v>340</v>
      </c>
      <c r="G146" s="251">
        <f>G147</f>
        <v>500</v>
      </c>
    </row>
    <row r="147" spans="1:7" ht="29.25" customHeight="1">
      <c r="A147" s="581" t="s">
        <v>361</v>
      </c>
      <c r="B147" s="245" t="s">
        <v>306</v>
      </c>
      <c r="C147" s="400" t="s">
        <v>138</v>
      </c>
      <c r="D147" s="401" t="s">
        <v>80</v>
      </c>
      <c r="E147" s="261" t="s">
        <v>486</v>
      </c>
      <c r="F147" s="401" t="s">
        <v>253</v>
      </c>
      <c r="G147" s="251">
        <v>500</v>
      </c>
    </row>
    <row r="148" spans="1:7" ht="27" customHeight="1">
      <c r="A148" s="581" t="s">
        <v>262</v>
      </c>
      <c r="B148" s="570" t="s">
        <v>462</v>
      </c>
      <c r="C148" s="400" t="s">
        <v>138</v>
      </c>
      <c r="D148" s="401" t="s">
        <v>80</v>
      </c>
      <c r="E148" s="261" t="s">
        <v>487</v>
      </c>
      <c r="F148" s="401"/>
      <c r="G148" s="586">
        <f>G150</f>
        <v>50</v>
      </c>
    </row>
    <row r="149" spans="1:7" ht="27" customHeight="1">
      <c r="A149" s="581" t="s">
        <v>326</v>
      </c>
      <c r="B149" s="399" t="s">
        <v>341</v>
      </c>
      <c r="C149" s="400" t="s">
        <v>138</v>
      </c>
      <c r="D149" s="401" t="s">
        <v>80</v>
      </c>
      <c r="E149" s="261" t="s">
        <v>487</v>
      </c>
      <c r="F149" s="401" t="s">
        <v>340</v>
      </c>
      <c r="G149" s="251">
        <f>G150</f>
        <v>50</v>
      </c>
    </row>
    <row r="150" spans="1:7" ht="36.75" thickBot="1">
      <c r="A150" s="581" t="s">
        <v>360</v>
      </c>
      <c r="B150" s="245" t="s">
        <v>306</v>
      </c>
      <c r="C150" s="400" t="s">
        <v>138</v>
      </c>
      <c r="D150" s="401" t="s">
        <v>80</v>
      </c>
      <c r="E150" s="357" t="s">
        <v>487</v>
      </c>
      <c r="F150" s="401" t="s">
        <v>253</v>
      </c>
      <c r="G150" s="251">
        <v>50</v>
      </c>
    </row>
    <row r="151" spans="1:7" ht="13.5" thickBot="1">
      <c r="A151" s="319" t="s">
        <v>429</v>
      </c>
      <c r="B151" s="332" t="s">
        <v>267</v>
      </c>
      <c r="C151" s="321">
        <v>993</v>
      </c>
      <c r="D151" s="355" t="s">
        <v>80</v>
      </c>
      <c r="E151" s="358" t="s">
        <v>492</v>
      </c>
      <c r="F151" s="356"/>
      <c r="G151" s="323">
        <f>G152+G155+G158+G161</f>
        <v>22136.5</v>
      </c>
    </row>
    <row r="152" spans="1:7" ht="22.5" customHeight="1">
      <c r="A152" s="583" t="s">
        <v>430</v>
      </c>
      <c r="B152" s="567" t="s">
        <v>409</v>
      </c>
      <c r="C152" s="584" t="s">
        <v>138</v>
      </c>
      <c r="D152" s="559" t="s">
        <v>80</v>
      </c>
      <c r="E152" s="261" t="s">
        <v>489</v>
      </c>
      <c r="F152" s="559"/>
      <c r="G152" s="267">
        <f>G154</f>
        <v>16024.9</v>
      </c>
    </row>
    <row r="153" spans="1:7" ht="26.25" customHeight="1">
      <c r="A153" s="579" t="s">
        <v>431</v>
      </c>
      <c r="B153" s="399" t="s">
        <v>341</v>
      </c>
      <c r="C153" s="504" t="s">
        <v>138</v>
      </c>
      <c r="D153" s="402" t="s">
        <v>80</v>
      </c>
      <c r="E153" s="261" t="s">
        <v>489</v>
      </c>
      <c r="F153" s="402" t="s">
        <v>340</v>
      </c>
      <c r="G153" s="251">
        <f>G154</f>
        <v>16024.9</v>
      </c>
    </row>
    <row r="154" spans="1:7" ht="18" customHeight="1">
      <c r="A154" s="579" t="s">
        <v>432</v>
      </c>
      <c r="B154" s="245" t="s">
        <v>306</v>
      </c>
      <c r="C154" s="504" t="s">
        <v>138</v>
      </c>
      <c r="D154" s="402" t="s">
        <v>80</v>
      </c>
      <c r="E154" s="261" t="s">
        <v>489</v>
      </c>
      <c r="F154" s="402" t="s">
        <v>253</v>
      </c>
      <c r="G154" s="251">
        <f>13976+490.5+1800-23.2-218.4</f>
        <v>16024.9</v>
      </c>
    </row>
    <row r="155" spans="1:7" ht="26.25" customHeight="1">
      <c r="A155" s="579" t="s">
        <v>433</v>
      </c>
      <c r="B155" s="399" t="s">
        <v>410</v>
      </c>
      <c r="C155" s="504" t="s">
        <v>138</v>
      </c>
      <c r="D155" s="402" t="s">
        <v>80</v>
      </c>
      <c r="E155" s="261" t="s">
        <v>490</v>
      </c>
      <c r="F155" s="402"/>
      <c r="G155" s="251">
        <f t="shared" ref="G155" si="8">G157</f>
        <v>4308.6000000000004</v>
      </c>
    </row>
    <row r="156" spans="1:7" ht="27" customHeight="1">
      <c r="A156" s="579" t="s">
        <v>434</v>
      </c>
      <c r="B156" s="399" t="s">
        <v>341</v>
      </c>
      <c r="C156" s="504" t="s">
        <v>138</v>
      </c>
      <c r="D156" s="402" t="s">
        <v>80</v>
      </c>
      <c r="E156" s="261" t="s">
        <v>490</v>
      </c>
      <c r="F156" s="402" t="s">
        <v>340</v>
      </c>
      <c r="G156" s="251">
        <f>G157</f>
        <v>4308.6000000000004</v>
      </c>
    </row>
    <row r="157" spans="1:7" ht="21" customHeight="1">
      <c r="A157" s="579" t="s">
        <v>435</v>
      </c>
      <c r="B157" s="245" t="s">
        <v>306</v>
      </c>
      <c r="C157" s="504" t="s">
        <v>138</v>
      </c>
      <c r="D157" s="402" t="s">
        <v>80</v>
      </c>
      <c r="E157" s="261" t="s">
        <v>490</v>
      </c>
      <c r="F157" s="402" t="s">
        <v>253</v>
      </c>
      <c r="G157" s="251">
        <f>3080+1027.1-22.6+224.1</f>
        <v>4308.6000000000004</v>
      </c>
    </row>
    <row r="158" spans="1:7" ht="24.75" customHeight="1">
      <c r="A158" s="579" t="s">
        <v>436</v>
      </c>
      <c r="B158" s="399" t="s">
        <v>82</v>
      </c>
      <c r="C158" s="504" t="s">
        <v>138</v>
      </c>
      <c r="D158" s="402" t="s">
        <v>80</v>
      </c>
      <c r="E158" s="261" t="s">
        <v>491</v>
      </c>
      <c r="F158" s="402"/>
      <c r="G158" s="251">
        <f>G160</f>
        <v>1500</v>
      </c>
    </row>
    <row r="159" spans="1:7" ht="27" customHeight="1">
      <c r="A159" s="581" t="s">
        <v>437</v>
      </c>
      <c r="B159" s="399" t="s">
        <v>341</v>
      </c>
      <c r="C159" s="400" t="s">
        <v>138</v>
      </c>
      <c r="D159" s="401" t="s">
        <v>80</v>
      </c>
      <c r="E159" s="261" t="s">
        <v>491</v>
      </c>
      <c r="F159" s="402" t="s">
        <v>340</v>
      </c>
      <c r="G159" s="269">
        <f>G160</f>
        <v>1500</v>
      </c>
    </row>
    <row r="160" spans="1:7" ht="27" customHeight="1">
      <c r="A160" s="581" t="s">
        <v>438</v>
      </c>
      <c r="B160" s="500" t="s">
        <v>306</v>
      </c>
      <c r="C160" s="400" t="s">
        <v>138</v>
      </c>
      <c r="D160" s="401" t="s">
        <v>80</v>
      </c>
      <c r="E160" s="246" t="s">
        <v>491</v>
      </c>
      <c r="F160" s="401" t="s">
        <v>253</v>
      </c>
      <c r="G160" s="269">
        <v>1500</v>
      </c>
    </row>
    <row r="161" spans="1:17" ht="27" customHeight="1">
      <c r="A161" s="587" t="s">
        <v>616</v>
      </c>
      <c r="B161" s="245" t="s">
        <v>619</v>
      </c>
      <c r="C161" s="400" t="s">
        <v>138</v>
      </c>
      <c r="D161" s="401" t="s">
        <v>80</v>
      </c>
      <c r="E161" s="246" t="s">
        <v>620</v>
      </c>
      <c r="F161" s="401"/>
      <c r="G161" s="352">
        <f>G162</f>
        <v>303</v>
      </c>
    </row>
    <row r="162" spans="1:17" ht="27" customHeight="1">
      <c r="A162" s="587" t="s">
        <v>617</v>
      </c>
      <c r="B162" s="570" t="s">
        <v>341</v>
      </c>
      <c r="C162" s="400" t="s">
        <v>138</v>
      </c>
      <c r="D162" s="401" t="s">
        <v>80</v>
      </c>
      <c r="E162" s="246" t="s">
        <v>620</v>
      </c>
      <c r="F162" s="401" t="s">
        <v>340</v>
      </c>
      <c r="G162" s="550">
        <f>G163</f>
        <v>303</v>
      </c>
    </row>
    <row r="163" spans="1:17" ht="36">
      <c r="A163" s="587" t="s">
        <v>618</v>
      </c>
      <c r="B163" s="245" t="s">
        <v>306</v>
      </c>
      <c r="C163" s="504" t="s">
        <v>138</v>
      </c>
      <c r="D163" s="402" t="s">
        <v>80</v>
      </c>
      <c r="E163" s="246" t="s">
        <v>620</v>
      </c>
      <c r="F163" s="402" t="s">
        <v>253</v>
      </c>
      <c r="G163" s="352">
        <v>303</v>
      </c>
    </row>
    <row r="164" spans="1:17" ht="24.75" customHeight="1" thickBot="1">
      <c r="A164" s="386" t="s">
        <v>42</v>
      </c>
      <c r="B164" s="387" t="s">
        <v>34</v>
      </c>
      <c r="C164" s="388" t="s">
        <v>138</v>
      </c>
      <c r="D164" s="388" t="s">
        <v>22</v>
      </c>
      <c r="E164" s="388"/>
      <c r="F164" s="388"/>
      <c r="G164" s="390">
        <f>G169+G165</f>
        <v>903.09999999999991</v>
      </c>
    </row>
    <row r="165" spans="1:17" ht="84" customHeight="1">
      <c r="A165" s="324" t="s">
        <v>169</v>
      </c>
      <c r="B165" s="325" t="s">
        <v>330</v>
      </c>
      <c r="C165" s="295" t="s">
        <v>138</v>
      </c>
      <c r="D165" s="295" t="s">
        <v>329</v>
      </c>
      <c r="E165" s="295"/>
      <c r="F165" s="295"/>
      <c r="G165" s="299">
        <f>G166</f>
        <v>61.8</v>
      </c>
    </row>
    <row r="166" spans="1:17" ht="25.5" customHeight="1">
      <c r="A166" s="309" t="s">
        <v>79</v>
      </c>
      <c r="B166" s="306" t="s">
        <v>406</v>
      </c>
      <c r="C166" s="296" t="s">
        <v>138</v>
      </c>
      <c r="D166" s="296" t="s">
        <v>329</v>
      </c>
      <c r="E166" s="296" t="s">
        <v>493</v>
      </c>
      <c r="F166" s="296"/>
      <c r="G166" s="303">
        <f>G168</f>
        <v>61.8</v>
      </c>
    </row>
    <row r="167" spans="1:17" ht="26.25" customHeight="1">
      <c r="A167" s="257" t="s">
        <v>151</v>
      </c>
      <c r="B167" s="399" t="s">
        <v>341</v>
      </c>
      <c r="C167" s="246" t="s">
        <v>138</v>
      </c>
      <c r="D167" s="246" t="s">
        <v>329</v>
      </c>
      <c r="E167" s="246" t="s">
        <v>493</v>
      </c>
      <c r="F167" s="246" t="s">
        <v>340</v>
      </c>
      <c r="G167" s="269">
        <f>G168</f>
        <v>61.8</v>
      </c>
    </row>
    <row r="168" spans="1:17" ht="18.75" customHeight="1">
      <c r="A168" s="257" t="s">
        <v>362</v>
      </c>
      <c r="B168" s="245" t="s">
        <v>306</v>
      </c>
      <c r="C168" s="246" t="s">
        <v>138</v>
      </c>
      <c r="D168" s="246" t="s">
        <v>329</v>
      </c>
      <c r="E168" s="246" t="s">
        <v>493</v>
      </c>
      <c r="F168" s="246" t="s">
        <v>253</v>
      </c>
      <c r="G168" s="269">
        <v>61.8</v>
      </c>
    </row>
    <row r="169" spans="1:17">
      <c r="A169" s="324" t="s">
        <v>331</v>
      </c>
      <c r="B169" s="325" t="s">
        <v>523</v>
      </c>
      <c r="C169" s="295" t="s">
        <v>138</v>
      </c>
      <c r="D169" s="295" t="s">
        <v>23</v>
      </c>
      <c r="E169" s="295"/>
      <c r="F169" s="296"/>
      <c r="G169" s="336">
        <f>G173+G170</f>
        <v>841.3</v>
      </c>
      <c r="O169" s="282"/>
      <c r="Q169" s="508"/>
    </row>
    <row r="170" spans="1:17" ht="30" customHeight="1">
      <c r="A170" s="309" t="s">
        <v>332</v>
      </c>
      <c r="B170" s="306" t="s">
        <v>581</v>
      </c>
      <c r="C170" s="296" t="s">
        <v>138</v>
      </c>
      <c r="D170" s="296" t="s">
        <v>23</v>
      </c>
      <c r="E170" s="296" t="s">
        <v>582</v>
      </c>
      <c r="F170" s="296"/>
      <c r="G170" s="303">
        <f t="shared" ref="G170" si="9">G172</f>
        <v>738.8</v>
      </c>
      <c r="O170" s="282"/>
      <c r="Q170" s="508"/>
    </row>
    <row r="171" spans="1:17" ht="27.75" customHeight="1">
      <c r="A171" s="257" t="s">
        <v>333</v>
      </c>
      <c r="B171" s="399" t="s">
        <v>341</v>
      </c>
      <c r="C171" s="246" t="s">
        <v>138</v>
      </c>
      <c r="D171" s="246" t="s">
        <v>23</v>
      </c>
      <c r="E171" s="246" t="s">
        <v>582</v>
      </c>
      <c r="F171" s="246" t="s">
        <v>340</v>
      </c>
      <c r="G171" s="269">
        <f>G172</f>
        <v>738.8</v>
      </c>
      <c r="O171" s="282"/>
      <c r="Q171" s="508"/>
    </row>
    <row r="172" spans="1:17" ht="50.25" customHeight="1">
      <c r="A172" s="257" t="s">
        <v>363</v>
      </c>
      <c r="B172" s="245" t="s">
        <v>306</v>
      </c>
      <c r="C172" s="246" t="s">
        <v>138</v>
      </c>
      <c r="D172" s="246" t="s">
        <v>23</v>
      </c>
      <c r="E172" s="246" t="s">
        <v>582</v>
      </c>
      <c r="F172" s="246" t="s">
        <v>253</v>
      </c>
      <c r="G172" s="269">
        <f>720.8+18</f>
        <v>738.8</v>
      </c>
    </row>
    <row r="173" spans="1:17" ht="32.25" customHeight="1">
      <c r="A173" s="309" t="s">
        <v>583</v>
      </c>
      <c r="B173" s="337" t="s">
        <v>411</v>
      </c>
      <c r="C173" s="296" t="s">
        <v>138</v>
      </c>
      <c r="D173" s="296" t="s">
        <v>23</v>
      </c>
      <c r="E173" s="296" t="s">
        <v>514</v>
      </c>
      <c r="F173" s="296"/>
      <c r="G173" s="303">
        <f>G175</f>
        <v>102.5</v>
      </c>
    </row>
    <row r="174" spans="1:17" ht="27.75" customHeight="1">
      <c r="A174" s="275" t="s">
        <v>584</v>
      </c>
      <c r="B174" s="399" t="s">
        <v>341</v>
      </c>
      <c r="C174" s="276">
        <v>993</v>
      </c>
      <c r="D174" s="263" t="s">
        <v>23</v>
      </c>
      <c r="E174" s="246" t="s">
        <v>514</v>
      </c>
      <c r="F174" s="246" t="s">
        <v>340</v>
      </c>
      <c r="G174" s="269">
        <f>G175</f>
        <v>102.5</v>
      </c>
    </row>
    <row r="175" spans="1:17" ht="36.75" thickBot="1">
      <c r="A175" s="275" t="s">
        <v>585</v>
      </c>
      <c r="B175" s="245" t="s">
        <v>306</v>
      </c>
      <c r="C175" s="276">
        <v>993</v>
      </c>
      <c r="D175" s="263" t="s">
        <v>23</v>
      </c>
      <c r="E175" s="246" t="s">
        <v>514</v>
      </c>
      <c r="F175" s="246" t="s">
        <v>253</v>
      </c>
      <c r="G175" s="269">
        <f>98+4.5</f>
        <v>102.5</v>
      </c>
    </row>
    <row r="176" spans="1:17" ht="13.5" thickBot="1">
      <c r="A176" s="319" t="s">
        <v>48</v>
      </c>
      <c r="B176" s="320" t="s">
        <v>208</v>
      </c>
      <c r="C176" s="321" t="s">
        <v>138</v>
      </c>
      <c r="D176" s="321" t="s">
        <v>24</v>
      </c>
      <c r="E176" s="321"/>
      <c r="F176" s="321"/>
      <c r="G176" s="323">
        <f>G177+G181</f>
        <v>8038.5999999999995</v>
      </c>
    </row>
    <row r="177" spans="1:7" ht="62.25" customHeight="1">
      <c r="A177" s="324" t="s">
        <v>10</v>
      </c>
      <c r="B177" s="325" t="s">
        <v>38</v>
      </c>
      <c r="C177" s="295" t="s">
        <v>138</v>
      </c>
      <c r="D177" s="295" t="s">
        <v>39</v>
      </c>
      <c r="E177" s="295"/>
      <c r="F177" s="295"/>
      <c r="G177" s="299">
        <f>G178</f>
        <v>5348.9</v>
      </c>
    </row>
    <row r="178" spans="1:7" ht="31.5" customHeight="1">
      <c r="A178" s="309" t="s">
        <v>51</v>
      </c>
      <c r="B178" s="306" t="s">
        <v>412</v>
      </c>
      <c r="C178" s="296" t="s">
        <v>138</v>
      </c>
      <c r="D178" s="296" t="s">
        <v>39</v>
      </c>
      <c r="E178" s="296" t="s">
        <v>494</v>
      </c>
      <c r="F178" s="296"/>
      <c r="G178" s="303">
        <f>G180</f>
        <v>5348.9</v>
      </c>
    </row>
    <row r="179" spans="1:7" ht="25.5" customHeight="1">
      <c r="A179" s="257" t="s">
        <v>155</v>
      </c>
      <c r="B179" s="399" t="s">
        <v>341</v>
      </c>
      <c r="C179" s="246" t="s">
        <v>138</v>
      </c>
      <c r="D179" s="246" t="s">
        <v>39</v>
      </c>
      <c r="E179" s="246" t="s">
        <v>494</v>
      </c>
      <c r="F179" s="246" t="s">
        <v>340</v>
      </c>
      <c r="G179" s="269">
        <f>G180</f>
        <v>5348.9</v>
      </c>
    </row>
    <row r="180" spans="1:7" ht="25.5" customHeight="1">
      <c r="A180" s="257" t="s">
        <v>439</v>
      </c>
      <c r="B180" s="245" t="s">
        <v>306</v>
      </c>
      <c r="C180" s="246" t="s">
        <v>138</v>
      </c>
      <c r="D180" s="246" t="s">
        <v>39</v>
      </c>
      <c r="E180" s="246" t="s">
        <v>494</v>
      </c>
      <c r="F180" s="246" t="s">
        <v>253</v>
      </c>
      <c r="G180" s="269">
        <f>5245.8+9.2+93.9</f>
        <v>5348.9</v>
      </c>
    </row>
    <row r="181" spans="1:7" ht="25.5" customHeight="1">
      <c r="A181" s="309" t="s">
        <v>268</v>
      </c>
      <c r="B181" s="337" t="s">
        <v>310</v>
      </c>
      <c r="C181" s="296" t="s">
        <v>138</v>
      </c>
      <c r="D181" s="296" t="s">
        <v>269</v>
      </c>
      <c r="E181" s="296"/>
      <c r="F181" s="296"/>
      <c r="G181" s="303">
        <f>G182</f>
        <v>2689.7</v>
      </c>
    </row>
    <row r="182" spans="1:7" ht="15.75" customHeight="1">
      <c r="A182" s="341" t="s">
        <v>311</v>
      </c>
      <c r="B182" s="342" t="s">
        <v>413</v>
      </c>
      <c r="C182" s="334" t="s">
        <v>138</v>
      </c>
      <c r="D182" s="334" t="s">
        <v>269</v>
      </c>
      <c r="E182" s="296" t="s">
        <v>495</v>
      </c>
      <c r="F182" s="334"/>
      <c r="G182" s="344">
        <f>G184</f>
        <v>2689.7</v>
      </c>
    </row>
    <row r="183" spans="1:7" ht="27" customHeight="1">
      <c r="A183" s="275" t="s">
        <v>270</v>
      </c>
      <c r="B183" s="399" t="s">
        <v>341</v>
      </c>
      <c r="C183" s="263" t="s">
        <v>138</v>
      </c>
      <c r="D183" s="263" t="s">
        <v>269</v>
      </c>
      <c r="E183" s="246" t="s">
        <v>495</v>
      </c>
      <c r="F183" s="246" t="s">
        <v>340</v>
      </c>
      <c r="G183" s="269">
        <f>G184</f>
        <v>2689.7</v>
      </c>
    </row>
    <row r="184" spans="1:7" ht="30" customHeight="1" thickBot="1">
      <c r="A184" s="275" t="s">
        <v>364</v>
      </c>
      <c r="B184" s="500" t="s">
        <v>306</v>
      </c>
      <c r="C184" s="263" t="s">
        <v>138</v>
      </c>
      <c r="D184" s="263" t="s">
        <v>269</v>
      </c>
      <c r="E184" s="263" t="s">
        <v>495</v>
      </c>
      <c r="F184" s="263" t="s">
        <v>253</v>
      </c>
      <c r="G184" s="269">
        <f>2629+20.7+40</f>
        <v>2689.7</v>
      </c>
    </row>
    <row r="185" spans="1:7" ht="27" customHeight="1" thickTop="1" thickBot="1">
      <c r="A185" s="319" t="s">
        <v>41</v>
      </c>
      <c r="B185" s="589" t="s">
        <v>35</v>
      </c>
      <c r="C185" s="590" t="s">
        <v>138</v>
      </c>
      <c r="D185" s="590">
        <v>1000</v>
      </c>
      <c r="E185" s="590"/>
      <c r="F185" s="590"/>
      <c r="G185" s="591">
        <f>G186+G189+G192</f>
        <v>1373.1999999999998</v>
      </c>
    </row>
    <row r="186" spans="1:7" ht="27" customHeight="1">
      <c r="A186" s="324" t="s">
        <v>156</v>
      </c>
      <c r="B186" s="294" t="s">
        <v>221</v>
      </c>
      <c r="C186" s="295" t="s">
        <v>138</v>
      </c>
      <c r="D186" s="295" t="s">
        <v>220</v>
      </c>
      <c r="E186" s="295" t="s">
        <v>539</v>
      </c>
      <c r="F186" s="295"/>
      <c r="G186" s="299">
        <f>G187</f>
        <v>0</v>
      </c>
    </row>
    <row r="187" spans="1:7" ht="27" customHeight="1">
      <c r="A187" s="324" t="s">
        <v>72</v>
      </c>
      <c r="B187" s="407" t="s">
        <v>541</v>
      </c>
      <c r="C187" s="261" t="s">
        <v>138</v>
      </c>
      <c r="D187" s="261" t="s">
        <v>220</v>
      </c>
      <c r="E187" s="261" t="s">
        <v>539</v>
      </c>
      <c r="F187" s="261" t="s">
        <v>349</v>
      </c>
      <c r="G187" s="267">
        <f>G188</f>
        <v>0</v>
      </c>
    </row>
    <row r="188" spans="1:7" ht="24">
      <c r="A188" s="324" t="s">
        <v>271</v>
      </c>
      <c r="B188" s="407" t="s">
        <v>538</v>
      </c>
      <c r="C188" s="261" t="s">
        <v>138</v>
      </c>
      <c r="D188" s="261" t="s">
        <v>220</v>
      </c>
      <c r="E188" s="261" t="s">
        <v>539</v>
      </c>
      <c r="F188" s="261" t="s">
        <v>540</v>
      </c>
      <c r="G188" s="267">
        <v>0</v>
      </c>
    </row>
    <row r="189" spans="1:7" ht="20.25" hidden="1" customHeight="1">
      <c r="A189" s="309" t="s">
        <v>72</v>
      </c>
      <c r="B189" s="588" t="s">
        <v>222</v>
      </c>
      <c r="C189" s="398" t="s">
        <v>138</v>
      </c>
      <c r="D189" s="398" t="s">
        <v>220</v>
      </c>
      <c r="E189" s="334" t="s">
        <v>496</v>
      </c>
      <c r="F189" s="398"/>
      <c r="G189" s="303">
        <f>G191</f>
        <v>333.1</v>
      </c>
    </row>
    <row r="190" spans="1:7" ht="36" hidden="1" customHeight="1">
      <c r="A190" s="275" t="s">
        <v>271</v>
      </c>
      <c r="B190" s="570" t="s">
        <v>351</v>
      </c>
      <c r="C190" s="401" t="s">
        <v>138</v>
      </c>
      <c r="D190" s="401" t="s">
        <v>220</v>
      </c>
      <c r="E190" s="263" t="s">
        <v>496</v>
      </c>
      <c r="F190" s="401" t="s">
        <v>349</v>
      </c>
      <c r="G190" s="251">
        <f>G191</f>
        <v>333.1</v>
      </c>
    </row>
    <row r="191" spans="1:7" ht="22.5" hidden="1" customHeight="1">
      <c r="A191" s="275" t="s">
        <v>597</v>
      </c>
      <c r="B191" s="570" t="s">
        <v>352</v>
      </c>
      <c r="C191" s="401" t="s">
        <v>138</v>
      </c>
      <c r="D191" s="401" t="s">
        <v>220</v>
      </c>
      <c r="E191" s="263" t="s">
        <v>496</v>
      </c>
      <c r="F191" s="401" t="s">
        <v>350</v>
      </c>
      <c r="G191" s="251">
        <f>330.1+3</f>
        <v>333.1</v>
      </c>
    </row>
    <row r="192" spans="1:7" ht="42.75" customHeight="1">
      <c r="A192" s="309" t="s">
        <v>230</v>
      </c>
      <c r="B192" s="306" t="s">
        <v>171</v>
      </c>
      <c r="C192" s="296" t="s">
        <v>138</v>
      </c>
      <c r="D192" s="296" t="s">
        <v>40</v>
      </c>
      <c r="E192" s="296"/>
      <c r="F192" s="296"/>
      <c r="G192" s="303">
        <f>G193</f>
        <v>1040.0999999999999</v>
      </c>
    </row>
    <row r="193" spans="1:7" ht="19.5" customHeight="1">
      <c r="A193" s="305" t="s">
        <v>205</v>
      </c>
      <c r="B193" s="306" t="s">
        <v>520</v>
      </c>
      <c r="C193" s="296" t="s">
        <v>138</v>
      </c>
      <c r="D193" s="296" t="s">
        <v>40</v>
      </c>
      <c r="E193" s="296" t="s">
        <v>521</v>
      </c>
      <c r="F193" s="296"/>
      <c r="G193" s="576">
        <f>G195</f>
        <v>1040.0999999999999</v>
      </c>
    </row>
    <row r="194" spans="1:7" ht="20.25" customHeight="1">
      <c r="A194" s="257" t="s">
        <v>207</v>
      </c>
      <c r="B194" s="570" t="s">
        <v>351</v>
      </c>
      <c r="C194" s="246" t="s">
        <v>138</v>
      </c>
      <c r="D194" s="246" t="s">
        <v>40</v>
      </c>
      <c r="E194" s="246" t="s">
        <v>521</v>
      </c>
      <c r="F194" s="246" t="s">
        <v>349</v>
      </c>
      <c r="G194" s="251">
        <f>G195</f>
        <v>1040.0999999999999</v>
      </c>
    </row>
    <row r="195" spans="1:7" ht="36.75" thickBot="1">
      <c r="A195" s="257" t="s">
        <v>365</v>
      </c>
      <c r="B195" s="570" t="s">
        <v>352</v>
      </c>
      <c r="C195" s="246" t="s">
        <v>138</v>
      </c>
      <c r="D195" s="246" t="s">
        <v>40</v>
      </c>
      <c r="E195" s="246" t="s">
        <v>521</v>
      </c>
      <c r="F195" s="246" t="s">
        <v>350</v>
      </c>
      <c r="G195" s="251">
        <v>1040.0999999999999</v>
      </c>
    </row>
    <row r="196" spans="1:7" ht="13.5" thickBot="1">
      <c r="A196" s="319" t="s">
        <v>83</v>
      </c>
      <c r="B196" s="320" t="s">
        <v>170</v>
      </c>
      <c r="C196" s="321" t="s">
        <v>138</v>
      </c>
      <c r="D196" s="321" t="s">
        <v>185</v>
      </c>
      <c r="E196" s="321"/>
      <c r="F196" s="321"/>
      <c r="G196" s="323">
        <f t="shared" ref="G196:G197" si="10">G197</f>
        <v>545.29999999999995</v>
      </c>
    </row>
    <row r="197" spans="1:7" ht="21.75" customHeight="1">
      <c r="A197" s="324" t="s">
        <v>225</v>
      </c>
      <c r="B197" s="325" t="s">
        <v>186</v>
      </c>
      <c r="C197" s="295" t="s">
        <v>138</v>
      </c>
      <c r="D197" s="295" t="s">
        <v>184</v>
      </c>
      <c r="E197" s="295"/>
      <c r="F197" s="295"/>
      <c r="G197" s="299">
        <f t="shared" si="10"/>
        <v>545.29999999999995</v>
      </c>
    </row>
    <row r="198" spans="1:7" ht="20.25" customHeight="1">
      <c r="A198" s="257" t="s">
        <v>191</v>
      </c>
      <c r="B198" s="337" t="s">
        <v>498</v>
      </c>
      <c r="C198" s="296" t="s">
        <v>138</v>
      </c>
      <c r="D198" s="296" t="s">
        <v>184</v>
      </c>
      <c r="E198" s="334" t="s">
        <v>497</v>
      </c>
      <c r="F198" s="296"/>
      <c r="G198" s="303">
        <f>G200</f>
        <v>545.29999999999995</v>
      </c>
    </row>
    <row r="199" spans="1:7" ht="60">
      <c r="A199" s="275" t="s">
        <v>192</v>
      </c>
      <c r="B199" s="399" t="s">
        <v>341</v>
      </c>
      <c r="C199" s="263" t="s">
        <v>138</v>
      </c>
      <c r="D199" s="263" t="s">
        <v>184</v>
      </c>
      <c r="E199" s="263" t="s">
        <v>497</v>
      </c>
      <c r="F199" s="263" t="s">
        <v>340</v>
      </c>
      <c r="G199" s="269">
        <f>G200</f>
        <v>545.29999999999995</v>
      </c>
    </row>
    <row r="200" spans="1:7" ht="36.75" thickBot="1">
      <c r="A200" s="275" t="s">
        <v>366</v>
      </c>
      <c r="B200" s="245" t="s">
        <v>306</v>
      </c>
      <c r="C200" s="263" t="s">
        <v>138</v>
      </c>
      <c r="D200" s="263" t="s">
        <v>184</v>
      </c>
      <c r="E200" s="263" t="s">
        <v>497</v>
      </c>
      <c r="F200" s="263" t="s">
        <v>253</v>
      </c>
      <c r="G200" s="269">
        <f>533.3+12</f>
        <v>545.29999999999995</v>
      </c>
    </row>
    <row r="201" spans="1:7" ht="13.5" thickBot="1">
      <c r="A201" s="319" t="s">
        <v>226</v>
      </c>
      <c r="B201" s="320" t="s">
        <v>187</v>
      </c>
      <c r="C201" s="321" t="s">
        <v>138</v>
      </c>
      <c r="D201" s="321" t="s">
        <v>188</v>
      </c>
      <c r="E201" s="321"/>
      <c r="F201" s="321"/>
      <c r="G201" s="323">
        <f>G202</f>
        <v>692.4</v>
      </c>
    </row>
    <row r="202" spans="1:7" ht="24.75" customHeight="1">
      <c r="A202" s="324" t="s">
        <v>73</v>
      </c>
      <c r="B202" s="325" t="s">
        <v>190</v>
      </c>
      <c r="C202" s="295" t="s">
        <v>138</v>
      </c>
      <c r="D202" s="295" t="s">
        <v>189</v>
      </c>
      <c r="E202" s="295"/>
      <c r="F202" s="295"/>
      <c r="G202" s="299">
        <f>G203</f>
        <v>692.4</v>
      </c>
    </row>
    <row r="203" spans="1:7" ht="24.75" customHeight="1">
      <c r="A203" s="309" t="s">
        <v>90</v>
      </c>
      <c r="B203" s="337" t="s">
        <v>501</v>
      </c>
      <c r="C203" s="296" t="s">
        <v>138</v>
      </c>
      <c r="D203" s="296" t="s">
        <v>189</v>
      </c>
      <c r="E203" s="296" t="s">
        <v>499</v>
      </c>
      <c r="F203" s="296"/>
      <c r="G203" s="303">
        <f>G205</f>
        <v>692.4</v>
      </c>
    </row>
    <row r="204" spans="1:7" ht="60">
      <c r="A204" s="257" t="s">
        <v>227</v>
      </c>
      <c r="B204" s="399" t="s">
        <v>341</v>
      </c>
      <c r="C204" s="246" t="s">
        <v>138</v>
      </c>
      <c r="D204" s="246" t="s">
        <v>189</v>
      </c>
      <c r="E204" s="246" t="s">
        <v>499</v>
      </c>
      <c r="F204" s="263" t="s">
        <v>340</v>
      </c>
      <c r="G204" s="251">
        <f>G205</f>
        <v>692.4</v>
      </c>
    </row>
    <row r="205" spans="1:7" ht="36.75" thickBot="1">
      <c r="A205" s="257" t="s">
        <v>367</v>
      </c>
      <c r="B205" s="245" t="s">
        <v>306</v>
      </c>
      <c r="C205" s="246" t="s">
        <v>138</v>
      </c>
      <c r="D205" s="246" t="s">
        <v>189</v>
      </c>
      <c r="E205" s="246" t="s">
        <v>499</v>
      </c>
      <c r="F205" s="263" t="s">
        <v>253</v>
      </c>
      <c r="G205" s="251">
        <v>692.4</v>
      </c>
    </row>
    <row r="206" spans="1:7" ht="24.75" hidden="1" thickBot="1">
      <c r="A206" s="309" t="s">
        <v>273</v>
      </c>
      <c r="B206" s="342" t="s">
        <v>274</v>
      </c>
      <c r="C206" s="296" t="s">
        <v>138</v>
      </c>
      <c r="D206" s="296" t="s">
        <v>189</v>
      </c>
      <c r="E206" s="296" t="s">
        <v>500</v>
      </c>
      <c r="F206" s="296"/>
      <c r="G206" s="344">
        <f>G208</f>
        <v>0</v>
      </c>
    </row>
    <row r="207" spans="1:7" ht="36" hidden="1" customHeight="1">
      <c r="A207" s="275" t="s">
        <v>309</v>
      </c>
      <c r="B207" s="252" t="s">
        <v>341</v>
      </c>
      <c r="C207" s="263" t="s">
        <v>138</v>
      </c>
      <c r="D207" s="263" t="s">
        <v>189</v>
      </c>
      <c r="E207" s="246" t="s">
        <v>500</v>
      </c>
      <c r="F207" s="263" t="s">
        <v>340</v>
      </c>
      <c r="G207" s="269">
        <f>G208</f>
        <v>0</v>
      </c>
    </row>
    <row r="208" spans="1:7" ht="28.5" hidden="1" customHeight="1" thickBot="1">
      <c r="A208" s="275" t="s">
        <v>368</v>
      </c>
      <c r="B208" s="245" t="s">
        <v>306</v>
      </c>
      <c r="C208" s="263" t="s">
        <v>138</v>
      </c>
      <c r="D208" s="263" t="s">
        <v>189</v>
      </c>
      <c r="E208" s="246" t="s">
        <v>500</v>
      </c>
      <c r="F208" s="263" t="s">
        <v>253</v>
      </c>
      <c r="G208" s="269">
        <v>0</v>
      </c>
    </row>
    <row r="209" spans="1:7" ht="15" thickBot="1">
      <c r="A209" s="345"/>
      <c r="B209" s="346" t="s">
        <v>36</v>
      </c>
      <c r="C209" s="346"/>
      <c r="D209" s="347"/>
      <c r="E209" s="347"/>
      <c r="F209" s="347"/>
      <c r="G209" s="349">
        <f>G9+G36+G32</f>
        <v>113689.3</v>
      </c>
    </row>
    <row r="211" spans="1:7">
      <c r="G211" s="282"/>
    </row>
    <row r="212" spans="1:7">
      <c r="G212" s="108"/>
    </row>
    <row r="214" spans="1:7">
      <c r="G214" s="116"/>
    </row>
  </sheetData>
  <mergeCells count="3">
    <mergeCell ref="A5:F5"/>
    <mergeCell ref="A6:F6"/>
    <mergeCell ref="F4:G4"/>
  </mergeCells>
  <pageMargins left="0.70866141732283472" right="0.70866141732283472" top="0.74803149606299213" bottom="0.74803149606299213" header="0.31496062992125984" footer="0.31496062992125984"/>
  <pageSetup paperSize="9" scale="75" fitToHeight="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C16" sqref="C16"/>
    </sheetView>
  </sheetViews>
  <sheetFormatPr defaultRowHeight="12.75"/>
  <cols>
    <col min="1" max="1" width="37.7109375" style="592" customWidth="1"/>
    <col min="2" max="2" width="46.85546875" style="592" customWidth="1"/>
    <col min="3" max="3" width="21.42578125" style="592" customWidth="1"/>
    <col min="4" max="16384" width="9.140625" style="592"/>
  </cols>
  <sheetData>
    <row r="1" spans="1:10" ht="25.5">
      <c r="A1" s="605" t="s">
        <v>214</v>
      </c>
      <c r="B1" s="604"/>
      <c r="C1" s="603" t="s">
        <v>661</v>
      </c>
    </row>
    <row r="2" spans="1:10" ht="12.75" customHeight="1">
      <c r="A2" s="602"/>
      <c r="B2" s="602"/>
      <c r="C2" s="424" t="s">
        <v>544</v>
      </c>
    </row>
    <row r="3" spans="1:10">
      <c r="A3" s="599"/>
      <c r="B3" s="599"/>
      <c r="C3" s="601"/>
      <c r="D3" s="599"/>
      <c r="E3" s="599"/>
      <c r="F3" s="599"/>
      <c r="G3" s="599"/>
      <c r="H3" s="599"/>
      <c r="I3" s="599"/>
      <c r="J3" s="599"/>
    </row>
    <row r="4" spans="1:10">
      <c r="A4" s="600"/>
      <c r="B4" s="624"/>
      <c r="C4" s="624"/>
      <c r="D4" s="599"/>
      <c r="E4" s="599"/>
      <c r="F4" s="599"/>
      <c r="G4" s="599"/>
      <c r="H4" s="599"/>
      <c r="I4" s="599"/>
      <c r="J4" s="599"/>
    </row>
    <row r="5" spans="1:10" ht="15.75">
      <c r="A5" s="625" t="s">
        <v>660</v>
      </c>
      <c r="B5" s="625"/>
      <c r="C5" s="625"/>
    </row>
    <row r="6" spans="1:10" ht="15.75">
      <c r="A6" s="625" t="s">
        <v>659</v>
      </c>
      <c r="B6" s="625"/>
      <c r="C6" s="625"/>
    </row>
    <row r="7" spans="1:10" ht="15.75">
      <c r="A7" s="625" t="s">
        <v>658</v>
      </c>
      <c r="B7" s="625"/>
      <c r="C7" s="625"/>
    </row>
    <row r="8" spans="1:10" ht="15">
      <c r="A8" s="626" t="s">
        <v>657</v>
      </c>
      <c r="B8" s="626"/>
      <c r="C8" s="626"/>
    </row>
    <row r="9" spans="1:10" ht="14.25">
      <c r="A9" s="598" t="s">
        <v>656</v>
      </c>
      <c r="B9" s="598" t="s">
        <v>655</v>
      </c>
      <c r="C9" s="598" t="s">
        <v>654</v>
      </c>
    </row>
    <row r="10" spans="1:10" ht="14.25">
      <c r="A10" s="627" t="s">
        <v>653</v>
      </c>
      <c r="B10" s="627"/>
      <c r="C10" s="598"/>
    </row>
    <row r="11" spans="1:10" ht="45" customHeight="1">
      <c r="A11" s="596" t="s">
        <v>652</v>
      </c>
      <c r="B11" s="596" t="s">
        <v>651</v>
      </c>
      <c r="C11" s="597">
        <f>C16+C12</f>
        <v>0</v>
      </c>
    </row>
    <row r="12" spans="1:10" ht="45" customHeight="1">
      <c r="A12" s="596" t="s">
        <v>650</v>
      </c>
      <c r="B12" s="596" t="s">
        <v>649</v>
      </c>
      <c r="C12" s="593">
        <f>C13</f>
        <v>-113689.29999999999</v>
      </c>
    </row>
    <row r="13" spans="1:10" ht="45" customHeight="1">
      <c r="A13" s="595" t="s">
        <v>648</v>
      </c>
      <c r="B13" s="595" t="s">
        <v>647</v>
      </c>
      <c r="C13" s="594">
        <f>C14</f>
        <v>-113689.29999999999</v>
      </c>
    </row>
    <row r="14" spans="1:10" ht="45" customHeight="1">
      <c r="A14" s="595" t="s">
        <v>646</v>
      </c>
      <c r="B14" s="595" t="s">
        <v>645</v>
      </c>
      <c r="C14" s="594">
        <f>C15</f>
        <v>-113689.29999999999</v>
      </c>
    </row>
    <row r="15" spans="1:10" ht="58.5" customHeight="1">
      <c r="A15" s="595" t="s">
        <v>644</v>
      </c>
      <c r="B15" s="595" t="s">
        <v>643</v>
      </c>
      <c r="C15" s="594">
        <f>-'доходы 2019'!J50</f>
        <v>-113689.29999999999</v>
      </c>
    </row>
    <row r="16" spans="1:10" ht="45" customHeight="1">
      <c r="A16" s="596" t="s">
        <v>642</v>
      </c>
      <c r="B16" s="596" t="s">
        <v>641</v>
      </c>
      <c r="C16" s="593">
        <f>C17</f>
        <v>113689.29999999999</v>
      </c>
    </row>
    <row r="17" spans="1:3" ht="45" customHeight="1">
      <c r="A17" s="595" t="s">
        <v>640</v>
      </c>
      <c r="B17" s="595" t="s">
        <v>639</v>
      </c>
      <c r="C17" s="594">
        <f>C18</f>
        <v>113689.29999999999</v>
      </c>
    </row>
    <row r="18" spans="1:3" ht="45" customHeight="1">
      <c r="A18" s="595" t="s">
        <v>638</v>
      </c>
      <c r="B18" s="595" t="s">
        <v>637</v>
      </c>
      <c r="C18" s="594">
        <f>C19</f>
        <v>113689.29999999999</v>
      </c>
    </row>
    <row r="19" spans="1:3" ht="63.75" customHeight="1">
      <c r="A19" s="595" t="s">
        <v>636</v>
      </c>
      <c r="B19" s="595" t="s">
        <v>635</v>
      </c>
      <c r="C19" s="594">
        <f>'Прилож 2'!J37</f>
        <v>113689.29999999999</v>
      </c>
    </row>
    <row r="20" spans="1:3" ht="14.25">
      <c r="A20" s="623" t="s">
        <v>634</v>
      </c>
      <c r="B20" s="623"/>
      <c r="C20" s="593">
        <f>C16+C12</f>
        <v>0</v>
      </c>
    </row>
    <row r="21" spans="1:3" ht="14.25">
      <c r="A21" s="623" t="s">
        <v>633</v>
      </c>
      <c r="B21" s="623"/>
      <c r="C21" s="593">
        <f>C20</f>
        <v>0</v>
      </c>
    </row>
  </sheetData>
  <mergeCells count="8">
    <mergeCell ref="A20:B20"/>
    <mergeCell ref="A21:B21"/>
    <mergeCell ref="B4:C4"/>
    <mergeCell ref="A5:C5"/>
    <mergeCell ref="A6:C6"/>
    <mergeCell ref="A7:C7"/>
    <mergeCell ref="A8:C8"/>
    <mergeCell ref="A10:B10"/>
  </mergeCells>
  <pageMargins left="0.31496062992125984" right="0.31496062992125984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1Р.</vt:lpstr>
      <vt:lpstr>доходы 2016</vt:lpstr>
      <vt:lpstr>доходы 2019</vt:lpstr>
      <vt:lpstr>Прилож 2</vt:lpstr>
      <vt:lpstr>Функц.2019 (прил 3) </vt:lpstr>
      <vt:lpstr>Вед. 2019 (прил 4)</vt:lpstr>
      <vt:lpstr>приложение 5</vt:lpstr>
      <vt:lpstr>'доходы 2016'!Заголовки_для_печати</vt:lpstr>
      <vt:lpstr>'доходы 2019'!Заголовки_для_печати</vt:lpstr>
      <vt:lpstr>'1Р.'!Область_печати</vt:lpstr>
    </vt:vector>
  </TitlesOfParts>
  <Company>QuasaR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user</cp:lastModifiedBy>
  <cp:lastPrinted>2018-11-21T13:18:06Z</cp:lastPrinted>
  <dcterms:created xsi:type="dcterms:W3CDTF">1999-12-27T10:35:15Z</dcterms:created>
  <dcterms:modified xsi:type="dcterms:W3CDTF">2019-06-18T15:14:18Z</dcterms:modified>
</cp:coreProperties>
</file>