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флэшка спб\"/>
    </mc:Choice>
  </mc:AlternateContent>
  <bookViews>
    <workbookView xWindow="10020" yWindow="-360" windowWidth="11205" windowHeight="10920" tabRatio="865" firstSheet="2" activeTab="4"/>
  </bookViews>
  <sheets>
    <sheet name="1Р." sheetId="59" state="hidden" r:id="rId1"/>
    <sheet name="доходы 2016" sheetId="75" state="hidden" r:id="rId2"/>
    <sheet name="доходы 2018" sheetId="108" r:id="rId3"/>
    <sheet name="Прилож 2" sheetId="114" r:id="rId4"/>
    <sheet name="Функц.2017 (прил 3) " sheetId="113" r:id="rId5"/>
    <sheet name="Вед. 2017 (прил 4)" sheetId="110" r:id="rId6"/>
    <sheet name="Прилож 5" sheetId="99" r:id="rId7"/>
    <sheet name="Прилож 6" sheetId="105" r:id="rId8"/>
    <sheet name="Прилож 7" sheetId="106" r:id="rId9"/>
  </sheets>
  <externalReferences>
    <externalReference r:id="rId10"/>
    <externalReference r:id="rId11"/>
  </externalReferences>
  <definedNames>
    <definedName name="_xlnm.Print_Titles" localSheetId="1">'доходы 2016'!$8:$8</definedName>
    <definedName name="_xlnm.Print_Titles" localSheetId="2">'доходы 2018'!$8:$8</definedName>
    <definedName name="_xlnm.Print_Area" localSheetId="0">'1Р.'!$A$1:$H$65</definedName>
  </definedNames>
  <calcPr calcId="152511" refMode="R1C1"/>
</workbook>
</file>

<file path=xl/calcChain.xml><?xml version="1.0" encoding="utf-8"?>
<calcChain xmlns="http://schemas.openxmlformats.org/spreadsheetml/2006/main">
  <c r="L160" i="113" l="1"/>
  <c r="L162" i="113"/>
  <c r="L161" i="113" s="1"/>
  <c r="N172" i="110"/>
  <c r="N118" i="110"/>
  <c r="N151" i="110"/>
  <c r="L64" i="113"/>
  <c r="L63" i="113" s="1"/>
  <c r="L62" i="113" s="1"/>
  <c r="N75" i="110"/>
  <c r="N74" i="110" s="1"/>
  <c r="L136" i="113" l="1"/>
  <c r="L139" i="113"/>
  <c r="L138" i="113" s="1"/>
  <c r="L137" i="113" s="1"/>
  <c r="J151" i="110"/>
  <c r="I151" i="110"/>
  <c r="H151" i="110"/>
  <c r="N150" i="110"/>
  <c r="J150" i="110"/>
  <c r="I150" i="110"/>
  <c r="H150" i="110"/>
  <c r="N149" i="110"/>
  <c r="M149" i="110"/>
  <c r="L149" i="110"/>
  <c r="K149" i="110"/>
  <c r="L106" i="113" l="1"/>
  <c r="L79" i="113"/>
  <c r="L78" i="113" s="1"/>
  <c r="L77" i="113" s="1"/>
  <c r="N90" i="110"/>
  <c r="N89" i="110" s="1"/>
  <c r="N45" i="110"/>
  <c r="J30" i="108" l="1"/>
  <c r="J29" i="108" s="1"/>
  <c r="J28" i="108" s="1"/>
  <c r="L84" i="113"/>
  <c r="N55" i="110" l="1"/>
  <c r="N106" i="110" l="1"/>
  <c r="J27" i="114"/>
  <c r="J18" i="114"/>
  <c r="J19" i="114"/>
  <c r="J20" i="114"/>
  <c r="J24" i="114"/>
  <c r="J25" i="114"/>
  <c r="J28" i="114"/>
  <c r="J31" i="114"/>
  <c r="J33" i="114"/>
  <c r="L13" i="113"/>
  <c r="L18" i="113"/>
  <c r="L20" i="113"/>
  <c r="L23" i="113"/>
  <c r="L28" i="113"/>
  <c r="L31" i="113"/>
  <c r="L33" i="113"/>
  <c r="L35" i="113"/>
  <c r="L38" i="113"/>
  <c r="L42" i="113"/>
  <c r="L44" i="113"/>
  <c r="L48" i="113"/>
  <c r="L52" i="113"/>
  <c r="L55" i="113"/>
  <c r="L61" i="113"/>
  <c r="L67" i="113"/>
  <c r="L70" i="113"/>
  <c r="L73" i="113"/>
  <c r="L76" i="113"/>
  <c r="L87" i="113"/>
  <c r="L92" i="113"/>
  <c r="L96" i="113"/>
  <c r="L94" i="113" s="1"/>
  <c r="L100" i="113"/>
  <c r="L110" i="113"/>
  <c r="L113" i="113"/>
  <c r="L116" i="113"/>
  <c r="L120" i="113"/>
  <c r="L123" i="113"/>
  <c r="L126" i="113"/>
  <c r="L130" i="113"/>
  <c r="L133" i="113"/>
  <c r="L144" i="113"/>
  <c r="L148" i="113"/>
  <c r="L153" i="113"/>
  <c r="L157" i="113"/>
  <c r="L165" i="113"/>
  <c r="L169" i="113"/>
  <c r="L174" i="113"/>
  <c r="L17" i="113" l="1"/>
  <c r="N32" i="110" l="1"/>
  <c r="N53" i="110"/>
  <c r="L32" i="113"/>
  <c r="N192" i="110"/>
  <c r="N191" i="110"/>
  <c r="M191" i="110"/>
  <c r="L191" i="110"/>
  <c r="K191" i="110"/>
  <c r="N190" i="110"/>
  <c r="N188" i="110" s="1"/>
  <c r="M188" i="110"/>
  <c r="M187" i="110" s="1"/>
  <c r="M186" i="110" s="1"/>
  <c r="L188" i="110"/>
  <c r="K188" i="110"/>
  <c r="L187" i="110"/>
  <c r="L186" i="110" s="1"/>
  <c r="K185" i="110"/>
  <c r="N184" i="110"/>
  <c r="K184" i="110"/>
  <c r="N183" i="110"/>
  <c r="M183" i="110"/>
  <c r="L183" i="110"/>
  <c r="K183" i="110"/>
  <c r="N182" i="110"/>
  <c r="M182" i="110"/>
  <c r="L182" i="110"/>
  <c r="K182" i="110"/>
  <c r="N181" i="110"/>
  <c r="M181" i="110"/>
  <c r="L181" i="110"/>
  <c r="K181" i="110"/>
  <c r="N179" i="110"/>
  <c r="N178" i="110"/>
  <c r="N177" i="110" s="1"/>
  <c r="M178" i="110"/>
  <c r="L178" i="110"/>
  <c r="K178" i="110"/>
  <c r="N175" i="110"/>
  <c r="N174" i="110"/>
  <c r="M174" i="110"/>
  <c r="M171" i="110" s="1"/>
  <c r="L174" i="110"/>
  <c r="K174" i="110"/>
  <c r="K171" i="110" s="1"/>
  <c r="L171" i="110"/>
  <c r="K169" i="110"/>
  <c r="N168" i="110"/>
  <c r="K168" i="110"/>
  <c r="N167" i="110"/>
  <c r="N166" i="110"/>
  <c r="M166" i="110"/>
  <c r="L166" i="110"/>
  <c r="K166" i="110" s="1"/>
  <c r="K165" i="110"/>
  <c r="N164" i="110"/>
  <c r="K164" i="110"/>
  <c r="N163" i="110"/>
  <c r="M163" i="110"/>
  <c r="L163" i="110"/>
  <c r="K163" i="110"/>
  <c r="L162" i="110"/>
  <c r="N159" i="110"/>
  <c r="N158" i="110"/>
  <c r="N157" i="110" s="1"/>
  <c r="M158" i="110"/>
  <c r="M157" i="110" s="1"/>
  <c r="M154" i="110" s="1"/>
  <c r="L158" i="110"/>
  <c r="K158" i="110"/>
  <c r="K157" i="110" s="1"/>
  <c r="K154" i="110" s="1"/>
  <c r="L157" i="110"/>
  <c r="L154" i="110" s="1"/>
  <c r="J157" i="110"/>
  <c r="J153" i="110" s="1"/>
  <c r="I157" i="110"/>
  <c r="I153" i="110" s="1"/>
  <c r="J156" i="110"/>
  <c r="J147" i="110" s="1"/>
  <c r="I156" i="110"/>
  <c r="I147" i="110" s="1"/>
  <c r="H156" i="110"/>
  <c r="N155" i="110"/>
  <c r="J155" i="110"/>
  <c r="I155" i="110"/>
  <c r="H155" i="110"/>
  <c r="N154" i="110"/>
  <c r="H154" i="110"/>
  <c r="L152" i="110"/>
  <c r="J152" i="110"/>
  <c r="N147" i="110"/>
  <c r="H147" i="110"/>
  <c r="N146" i="110"/>
  <c r="M146" i="110"/>
  <c r="L146" i="110"/>
  <c r="K146" i="110"/>
  <c r="J145" i="110"/>
  <c r="I145" i="110"/>
  <c r="H145" i="110"/>
  <c r="N144" i="110"/>
  <c r="J144" i="110"/>
  <c r="I144" i="110"/>
  <c r="H144" i="110"/>
  <c r="N143" i="110"/>
  <c r="M143" i="110"/>
  <c r="L143" i="110"/>
  <c r="J143" i="110"/>
  <c r="I143" i="110"/>
  <c r="H143" i="110"/>
  <c r="K142" i="110"/>
  <c r="K140" i="110" s="1"/>
  <c r="J142" i="110"/>
  <c r="J141" i="110" s="1"/>
  <c r="I142" i="110"/>
  <c r="H142" i="110"/>
  <c r="H141" i="110" s="1"/>
  <c r="N141" i="110"/>
  <c r="K141" i="110"/>
  <c r="N140" i="110"/>
  <c r="M140" i="110"/>
  <c r="L140" i="110"/>
  <c r="H140" i="110"/>
  <c r="J139" i="110"/>
  <c r="I139" i="110"/>
  <c r="N137" i="110"/>
  <c r="N136" i="110"/>
  <c r="M136" i="110"/>
  <c r="L136" i="110"/>
  <c r="K136" i="110"/>
  <c r="N134" i="110"/>
  <c r="N133" i="110"/>
  <c r="M133" i="110"/>
  <c r="L133" i="110"/>
  <c r="K133" i="110"/>
  <c r="H132" i="110"/>
  <c r="N131" i="110"/>
  <c r="H131" i="110"/>
  <c r="N130" i="110"/>
  <c r="M130" i="110"/>
  <c r="L130" i="110"/>
  <c r="K130" i="110"/>
  <c r="J130" i="110"/>
  <c r="I130" i="110"/>
  <c r="H130" i="110" s="1"/>
  <c r="N127" i="110"/>
  <c r="N126" i="110" s="1"/>
  <c r="M126" i="110"/>
  <c r="L126" i="110"/>
  <c r="K126" i="110"/>
  <c r="J125" i="110"/>
  <c r="I125" i="110"/>
  <c r="H125" i="110"/>
  <c r="N124" i="110"/>
  <c r="N123" i="110" s="1"/>
  <c r="J124" i="110"/>
  <c r="I124" i="110"/>
  <c r="H124" i="110"/>
  <c r="M123" i="110"/>
  <c r="L123" i="110"/>
  <c r="K123" i="110"/>
  <c r="H122" i="110"/>
  <c r="H120" i="110" s="1"/>
  <c r="N121" i="110"/>
  <c r="H121" i="110"/>
  <c r="N120" i="110"/>
  <c r="M120" i="110"/>
  <c r="L120" i="110"/>
  <c r="K120" i="110"/>
  <c r="J120" i="110"/>
  <c r="I120" i="110"/>
  <c r="I119" i="110" s="1"/>
  <c r="J118" i="110"/>
  <c r="J117" i="110" s="1"/>
  <c r="I118" i="110"/>
  <c r="H118" i="110" s="1"/>
  <c r="N117" i="110"/>
  <c r="N116" i="110" s="1"/>
  <c r="N115" i="110" s="1"/>
  <c r="M116" i="110"/>
  <c r="L116" i="110"/>
  <c r="L115" i="110" s="1"/>
  <c r="K116" i="110"/>
  <c r="H116" i="110"/>
  <c r="J115" i="110"/>
  <c r="I115" i="110"/>
  <c r="J113" i="110"/>
  <c r="K112" i="110"/>
  <c r="H112" i="110"/>
  <c r="H110" i="110" s="1"/>
  <c r="N111" i="110"/>
  <c r="K111" i="110"/>
  <c r="H111" i="110"/>
  <c r="J110" i="110"/>
  <c r="I110" i="110"/>
  <c r="H109" i="110"/>
  <c r="K108" i="110"/>
  <c r="K106" i="110" s="1"/>
  <c r="H108" i="110"/>
  <c r="H106" i="110" s="1"/>
  <c r="N105" i="110" s="1"/>
  <c r="N107" i="110"/>
  <c r="K107" i="110"/>
  <c r="H107" i="110"/>
  <c r="M106" i="110"/>
  <c r="M105" i="110" s="1"/>
  <c r="L106" i="110"/>
  <c r="J106" i="110"/>
  <c r="I106" i="110"/>
  <c r="H105" i="110"/>
  <c r="K104" i="110"/>
  <c r="K102" i="110" s="1"/>
  <c r="H104" i="110"/>
  <c r="N103" i="110"/>
  <c r="K103" i="110"/>
  <c r="H103" i="110"/>
  <c r="M102" i="110"/>
  <c r="L102" i="110"/>
  <c r="J102" i="110"/>
  <c r="I102" i="110"/>
  <c r="H101" i="110"/>
  <c r="N153" i="110" l="1"/>
  <c r="N170" i="110"/>
  <c r="N119" i="110"/>
  <c r="L139" i="110"/>
  <c r="L153" i="110"/>
  <c r="N139" i="110"/>
  <c r="J148" i="110"/>
  <c r="N102" i="110"/>
  <c r="N101" i="110" s="1"/>
  <c r="M101" i="110" s="1"/>
  <c r="L101" i="110" s="1"/>
  <c r="K101" i="110" s="1"/>
  <c r="N110" i="110"/>
  <c r="N109" i="110" s="1"/>
  <c r="N152" i="110"/>
  <c r="L119" i="110"/>
  <c r="K162" i="110"/>
  <c r="K177" i="110"/>
  <c r="K139" i="110"/>
  <c r="L177" i="110"/>
  <c r="I141" i="110"/>
  <c r="H102" i="110"/>
  <c r="L105" i="110"/>
  <c r="K105" i="110" s="1"/>
  <c r="K119" i="110"/>
  <c r="J119" i="110" s="1"/>
  <c r="M119" i="110"/>
  <c r="I148" i="110"/>
  <c r="N187" i="110"/>
  <c r="K187" i="110"/>
  <c r="I113" i="110"/>
  <c r="J35" i="114"/>
  <c r="L179" i="113"/>
  <c r="L177" i="113" s="1"/>
  <c r="L176" i="113" s="1"/>
  <c r="L175" i="113" s="1"/>
  <c r="M115" i="110"/>
  <c r="I117" i="110"/>
  <c r="M139" i="110"/>
  <c r="I152" i="110"/>
  <c r="K152" i="110"/>
  <c r="M152" i="110"/>
  <c r="K153" i="110"/>
  <c r="M153" i="110"/>
  <c r="N189" i="110"/>
  <c r="H139" i="110"/>
  <c r="N129" i="110"/>
  <c r="M129" i="110" s="1"/>
  <c r="L129" i="110" s="1"/>
  <c r="K129" i="110" s="1"/>
  <c r="J129" i="110" s="1"/>
  <c r="I129" i="110" s="1"/>
  <c r="N162" i="110"/>
  <c r="M162" i="110" s="1"/>
  <c r="H119" i="110"/>
  <c r="H115" i="110"/>
  <c r="H117" i="110"/>
  <c r="K115" i="110"/>
  <c r="H157" i="110"/>
  <c r="J99" i="110"/>
  <c r="I99" i="110"/>
  <c r="H99" i="110"/>
  <c r="H96" i="110" s="1"/>
  <c r="N98" i="110"/>
  <c r="J98" i="110"/>
  <c r="I98" i="110"/>
  <c r="H98" i="110"/>
  <c r="N97" i="110"/>
  <c r="M97" i="110"/>
  <c r="L97" i="110"/>
  <c r="K97" i="110"/>
  <c r="H97" i="110"/>
  <c r="J96" i="110"/>
  <c r="N95" i="110"/>
  <c r="N94" i="110" s="1"/>
  <c r="J95" i="110"/>
  <c r="I95" i="110"/>
  <c r="M94" i="110"/>
  <c r="L94" i="110"/>
  <c r="K94" i="110"/>
  <c r="H94" i="110"/>
  <c r="J93" i="110"/>
  <c r="J92" i="110" s="1"/>
  <c r="I93" i="110"/>
  <c r="H93" i="110"/>
  <c r="N87" i="110"/>
  <c r="N86" i="110"/>
  <c r="M86" i="110"/>
  <c r="L86" i="110"/>
  <c r="K86" i="110"/>
  <c r="J86" i="110"/>
  <c r="I86" i="110"/>
  <c r="N84" i="110"/>
  <c r="N83" i="110"/>
  <c r="M83" i="110"/>
  <c r="L83" i="110"/>
  <c r="K83" i="110"/>
  <c r="I83" i="110"/>
  <c r="N81" i="110"/>
  <c r="N80" i="110"/>
  <c r="M80" i="110"/>
  <c r="L80" i="110"/>
  <c r="K80" i="110"/>
  <c r="N78" i="110"/>
  <c r="N77" i="110"/>
  <c r="M77" i="110"/>
  <c r="L77" i="110"/>
  <c r="K77" i="110"/>
  <c r="J77" i="110"/>
  <c r="I77" i="110"/>
  <c r="H77" i="110"/>
  <c r="N72" i="110"/>
  <c r="N71" i="110"/>
  <c r="M71" i="110"/>
  <c r="L71" i="110"/>
  <c r="K71" i="110"/>
  <c r="J71" i="110"/>
  <c r="I71" i="110"/>
  <c r="H71" i="110"/>
  <c r="L58" i="113"/>
  <c r="J70" i="110"/>
  <c r="J68" i="110" s="1"/>
  <c r="I70" i="110"/>
  <c r="H70" i="110"/>
  <c r="H68" i="110" s="1"/>
  <c r="N69" i="110"/>
  <c r="J69" i="110"/>
  <c r="I69" i="110"/>
  <c r="H69" i="110"/>
  <c r="N68" i="110"/>
  <c r="M68" i="110"/>
  <c r="L68" i="110"/>
  <c r="K68" i="110"/>
  <c r="N66" i="110"/>
  <c r="N65" i="110"/>
  <c r="M65" i="110"/>
  <c r="L65" i="110"/>
  <c r="K65" i="110"/>
  <c r="H64" i="110"/>
  <c r="N63" i="110"/>
  <c r="H63" i="110"/>
  <c r="N62" i="110"/>
  <c r="M62" i="110"/>
  <c r="L62" i="110"/>
  <c r="K62" i="110"/>
  <c r="J62" i="110"/>
  <c r="I62" i="110"/>
  <c r="J60" i="110"/>
  <c r="I60" i="110"/>
  <c r="H60" i="110"/>
  <c r="N59" i="110"/>
  <c r="J59" i="110"/>
  <c r="I59" i="110"/>
  <c r="H59" i="110"/>
  <c r="N58" i="110"/>
  <c r="M58" i="110"/>
  <c r="L58" i="110"/>
  <c r="K58" i="110"/>
  <c r="N57" i="110"/>
  <c r="J13" i="114" s="1"/>
  <c r="M57" i="110"/>
  <c r="L57" i="110"/>
  <c r="K57" i="110"/>
  <c r="J57" i="110"/>
  <c r="I57" i="110"/>
  <c r="H57" i="110"/>
  <c r="N52" i="110"/>
  <c r="N51" i="110" s="1"/>
  <c r="M51" i="110"/>
  <c r="L51" i="110"/>
  <c r="K51" i="110"/>
  <c r="M50" i="110"/>
  <c r="L50" i="110"/>
  <c r="K50" i="110"/>
  <c r="H50" i="110"/>
  <c r="N49" i="110"/>
  <c r="M49" i="110" s="1"/>
  <c r="H49" i="110"/>
  <c r="L48" i="110"/>
  <c r="K48" i="110"/>
  <c r="M47" i="110"/>
  <c r="L47" i="110"/>
  <c r="K47" i="110"/>
  <c r="K46" i="110" s="1"/>
  <c r="H47" i="110"/>
  <c r="N46" i="110"/>
  <c r="M46" i="110" s="1"/>
  <c r="H46" i="110"/>
  <c r="M45" i="110"/>
  <c r="M44" i="110" s="1"/>
  <c r="L45" i="110"/>
  <c r="L41" i="110" s="1"/>
  <c r="K45" i="110"/>
  <c r="K41" i="110" s="1"/>
  <c r="H45" i="110"/>
  <c r="N44" i="110"/>
  <c r="H44" i="110"/>
  <c r="J43" i="110"/>
  <c r="I43" i="110"/>
  <c r="N42" i="110"/>
  <c r="I42" i="110"/>
  <c r="H41" i="110"/>
  <c r="J40" i="110"/>
  <c r="J39" i="110" s="1"/>
  <c r="I40" i="110"/>
  <c r="H40" i="110" s="1"/>
  <c r="H39" i="110" s="1"/>
  <c r="N39" i="110"/>
  <c r="N38" i="110"/>
  <c r="M38" i="110"/>
  <c r="L38" i="110"/>
  <c r="K38" i="110"/>
  <c r="M37" i="110"/>
  <c r="L37" i="110"/>
  <c r="K37" i="110"/>
  <c r="J36" i="110"/>
  <c r="I36" i="110"/>
  <c r="H36" i="110"/>
  <c r="H33" i="110"/>
  <c r="H32" i="110"/>
  <c r="N31" i="110"/>
  <c r="M31" i="110"/>
  <c r="L31" i="110"/>
  <c r="K31" i="110"/>
  <c r="J31" i="110"/>
  <c r="I31" i="110"/>
  <c r="H31" i="110"/>
  <c r="H15" i="110" s="1"/>
  <c r="N29" i="110"/>
  <c r="N27" i="110"/>
  <c r="N21" i="110"/>
  <c r="N18" i="110"/>
  <c r="N17" i="110"/>
  <c r="M17" i="110"/>
  <c r="M15" i="110" s="1"/>
  <c r="L17" i="110"/>
  <c r="K17" i="110"/>
  <c r="M16" i="110"/>
  <c r="L16" i="110"/>
  <c r="K16" i="110"/>
  <c r="J16" i="110"/>
  <c r="I16" i="110"/>
  <c r="H16" i="110"/>
  <c r="H14" i="110"/>
  <c r="N13" i="110"/>
  <c r="H13" i="110"/>
  <c r="M12" i="110"/>
  <c r="L12" i="110"/>
  <c r="K12" i="110"/>
  <c r="J12" i="110"/>
  <c r="I12" i="110"/>
  <c r="K180" i="113"/>
  <c r="J180" i="113"/>
  <c r="I180" i="113"/>
  <c r="L178" i="113"/>
  <c r="K177" i="113"/>
  <c r="J177" i="113"/>
  <c r="J176" i="113" s="1"/>
  <c r="J175" i="113" s="1"/>
  <c r="I177" i="113"/>
  <c r="I174" i="113"/>
  <c r="L173" i="113"/>
  <c r="I173" i="113"/>
  <c r="L172" i="113"/>
  <c r="K172" i="113"/>
  <c r="J172" i="113"/>
  <c r="I172" i="113"/>
  <c r="I171" i="113" s="1"/>
  <c r="I170" i="113" s="1"/>
  <c r="L171" i="113"/>
  <c r="L170" i="113" s="1"/>
  <c r="K171" i="113"/>
  <c r="J171" i="113"/>
  <c r="K170" i="113"/>
  <c r="J170" i="113"/>
  <c r="L168" i="113"/>
  <c r="L167" i="113"/>
  <c r="L166" i="113" s="1"/>
  <c r="K167" i="113"/>
  <c r="J167" i="113"/>
  <c r="I167" i="113"/>
  <c r="L164" i="113"/>
  <c r="L163" i="113"/>
  <c r="K163" i="113"/>
  <c r="K159" i="113" s="1"/>
  <c r="J163" i="113"/>
  <c r="I163" i="113"/>
  <c r="I159" i="113" s="1"/>
  <c r="J159" i="113"/>
  <c r="I157" i="113"/>
  <c r="I154" i="113" s="1"/>
  <c r="L156" i="113"/>
  <c r="I156" i="113"/>
  <c r="L155" i="113"/>
  <c r="L154" i="113"/>
  <c r="K154" i="113"/>
  <c r="J154" i="113"/>
  <c r="I153" i="113"/>
  <c r="L152" i="113"/>
  <c r="I152" i="113"/>
  <c r="L151" i="113"/>
  <c r="L150" i="113" s="1"/>
  <c r="K151" i="113"/>
  <c r="J151" i="113"/>
  <c r="I151" i="113"/>
  <c r="L147" i="113"/>
  <c r="L146" i="113"/>
  <c r="L145" i="113" s="1"/>
  <c r="K146" i="113"/>
  <c r="K145" i="113" s="1"/>
  <c r="J146" i="113"/>
  <c r="I146" i="113"/>
  <c r="I145" i="113" s="1"/>
  <c r="H145" i="113"/>
  <c r="H136" i="113" s="1"/>
  <c r="G145" i="113"/>
  <c r="G136" i="113" s="1"/>
  <c r="H144" i="113"/>
  <c r="G144" i="113"/>
  <c r="G135" i="113" s="1"/>
  <c r="F144" i="113"/>
  <c r="L143" i="113"/>
  <c r="H143" i="113"/>
  <c r="G143" i="113"/>
  <c r="F143" i="113"/>
  <c r="L142" i="113"/>
  <c r="L141" i="113" s="1"/>
  <c r="F142" i="113"/>
  <c r="L135" i="113"/>
  <c r="L134" i="113"/>
  <c r="K134" i="113"/>
  <c r="J134" i="113"/>
  <c r="I134" i="113"/>
  <c r="H133" i="113"/>
  <c r="H131" i="113" s="1"/>
  <c r="H130" i="113" s="1"/>
  <c r="G133" i="113"/>
  <c r="F133" i="113"/>
  <c r="F132" i="113" s="1"/>
  <c r="L132" i="113"/>
  <c r="H132" i="113"/>
  <c r="G132" i="113"/>
  <c r="L131" i="113"/>
  <c r="K131" i="113"/>
  <c r="J131" i="113"/>
  <c r="G131" i="113"/>
  <c r="I130" i="113"/>
  <c r="I128" i="113" s="1"/>
  <c r="L129" i="113"/>
  <c r="I129" i="113"/>
  <c r="L128" i="113"/>
  <c r="K128" i="113"/>
  <c r="J128" i="113"/>
  <c r="F128" i="113"/>
  <c r="H127" i="113"/>
  <c r="G127" i="113"/>
  <c r="L125" i="113"/>
  <c r="L124" i="113"/>
  <c r="K124" i="113"/>
  <c r="J124" i="113"/>
  <c r="I124" i="113"/>
  <c r="L122" i="113"/>
  <c r="L121" i="113"/>
  <c r="K121" i="113"/>
  <c r="J121" i="113"/>
  <c r="I121" i="113"/>
  <c r="F120" i="113"/>
  <c r="F118" i="113" s="1"/>
  <c r="L119" i="113"/>
  <c r="F119" i="113"/>
  <c r="L118" i="113"/>
  <c r="K118" i="113"/>
  <c r="J118" i="113"/>
  <c r="I118" i="113"/>
  <c r="H118" i="113"/>
  <c r="G118" i="113"/>
  <c r="L115" i="113"/>
  <c r="L114" i="113"/>
  <c r="K114" i="113"/>
  <c r="J114" i="113"/>
  <c r="I114" i="113"/>
  <c r="H113" i="113"/>
  <c r="G113" i="113"/>
  <c r="F113" i="113"/>
  <c r="L112" i="113"/>
  <c r="H112" i="113"/>
  <c r="G112" i="113"/>
  <c r="F112" i="113"/>
  <c r="L111" i="113"/>
  <c r="K111" i="113"/>
  <c r="J111" i="113"/>
  <c r="I111" i="113"/>
  <c r="F110" i="113"/>
  <c r="L109" i="113"/>
  <c r="L108" i="113" s="1"/>
  <c r="F109" i="113"/>
  <c r="K108" i="113"/>
  <c r="J108" i="113"/>
  <c r="I108" i="113"/>
  <c r="H108" i="113"/>
  <c r="H107" i="113" s="1"/>
  <c r="G108" i="113"/>
  <c r="F106" i="113"/>
  <c r="F105" i="113" s="1"/>
  <c r="H106" i="113"/>
  <c r="H105" i="113" s="1"/>
  <c r="G106" i="113"/>
  <c r="G105" i="113" s="1"/>
  <c r="L105" i="113"/>
  <c r="L104" i="113" s="1"/>
  <c r="L103" i="113" s="1"/>
  <c r="K104" i="113"/>
  <c r="J104" i="113"/>
  <c r="I104" i="113"/>
  <c r="F104" i="113"/>
  <c r="F103" i="113" s="1"/>
  <c r="H103" i="113"/>
  <c r="G103" i="113"/>
  <c r="I100" i="113"/>
  <c r="F100" i="113"/>
  <c r="F98" i="113" s="1"/>
  <c r="L99" i="113"/>
  <c r="I99" i="113"/>
  <c r="F99" i="113"/>
  <c r="H98" i="113"/>
  <c r="G98" i="113"/>
  <c r="F97" i="113"/>
  <c r="I96" i="113"/>
  <c r="F96" i="113"/>
  <c r="F94" i="113" s="1"/>
  <c r="L95" i="113"/>
  <c r="I95" i="113"/>
  <c r="F95" i="113"/>
  <c r="K94" i="113"/>
  <c r="K85" i="113" s="1"/>
  <c r="J94" i="113"/>
  <c r="J93" i="113" s="1"/>
  <c r="H94" i="113"/>
  <c r="G94" i="113"/>
  <c r="F93" i="113"/>
  <c r="F87" i="113" s="1"/>
  <c r="F84" i="113" s="1"/>
  <c r="I92" i="113"/>
  <c r="I90" i="113" s="1"/>
  <c r="I89" i="113" s="1"/>
  <c r="F92" i="113"/>
  <c r="F90" i="113" s="1"/>
  <c r="L91" i="113"/>
  <c r="I91" i="113"/>
  <c r="F91" i="113"/>
  <c r="K90" i="113"/>
  <c r="K89" i="113" s="1"/>
  <c r="J90" i="113"/>
  <c r="H90" i="113"/>
  <c r="G90" i="113"/>
  <c r="F89" i="113"/>
  <c r="H87" i="113"/>
  <c r="H84" i="113" s="1"/>
  <c r="G87" i="113"/>
  <c r="G84" i="113" s="1"/>
  <c r="L86" i="113"/>
  <c r="L85" i="113" s="1"/>
  <c r="H86" i="113"/>
  <c r="G86" i="113"/>
  <c r="F86" i="113"/>
  <c r="F85" i="113"/>
  <c r="F74" i="113" s="1"/>
  <c r="L83" i="113"/>
  <c r="L82" i="113" s="1"/>
  <c r="K82" i="113"/>
  <c r="J82" i="113"/>
  <c r="I82" i="113"/>
  <c r="F82" i="113"/>
  <c r="H81" i="113"/>
  <c r="G81" i="113"/>
  <c r="F81" i="113"/>
  <c r="L75" i="113"/>
  <c r="L74" i="113"/>
  <c r="K74" i="113"/>
  <c r="J74" i="113"/>
  <c r="I74" i="113"/>
  <c r="H74" i="113"/>
  <c r="G74" i="113"/>
  <c r="L72" i="113"/>
  <c r="L71" i="113"/>
  <c r="K71" i="113"/>
  <c r="J71" i="113"/>
  <c r="I71" i="113"/>
  <c r="G71" i="113"/>
  <c r="L69" i="113"/>
  <c r="L68" i="113"/>
  <c r="K68" i="113"/>
  <c r="J68" i="113"/>
  <c r="I68" i="113"/>
  <c r="L66" i="113"/>
  <c r="L65" i="113"/>
  <c r="K65" i="113"/>
  <c r="J65" i="113"/>
  <c r="I65" i="113"/>
  <c r="H65" i="113"/>
  <c r="H58" i="113" s="1"/>
  <c r="H57" i="113" s="1"/>
  <c r="G65" i="113"/>
  <c r="F65" i="113"/>
  <c r="F58" i="113" s="1"/>
  <c r="L60" i="113"/>
  <c r="L59" i="113"/>
  <c r="K59" i="113"/>
  <c r="J59" i="113"/>
  <c r="I59" i="113"/>
  <c r="H59" i="113"/>
  <c r="G59" i="113"/>
  <c r="F59" i="113"/>
  <c r="G58" i="113"/>
  <c r="G57" i="113" s="1"/>
  <c r="L159" i="113" l="1"/>
  <c r="J30" i="114" s="1"/>
  <c r="L158" i="113"/>
  <c r="H140" i="113"/>
  <c r="I127" i="113"/>
  <c r="J145" i="113"/>
  <c r="J142" i="113" s="1"/>
  <c r="L107" i="113"/>
  <c r="F131" i="113"/>
  <c r="F130" i="113" s="1"/>
  <c r="F129" i="113" s="1"/>
  <c r="F108" i="113"/>
  <c r="N61" i="110"/>
  <c r="H62" i="110"/>
  <c r="L127" i="113"/>
  <c r="L15" i="110"/>
  <c r="G107" i="113"/>
  <c r="G117" i="113"/>
  <c r="G111" i="113" s="1"/>
  <c r="I117" i="113"/>
  <c r="K117" i="113"/>
  <c r="H135" i="113"/>
  <c r="H141" i="113"/>
  <c r="F135" i="113"/>
  <c r="J42" i="110"/>
  <c r="I68" i="110"/>
  <c r="I96" i="110"/>
  <c r="N41" i="110"/>
  <c r="N37" i="110" s="1"/>
  <c r="J117" i="113"/>
  <c r="H117" i="113"/>
  <c r="H111" i="113" s="1"/>
  <c r="I176" i="113"/>
  <c r="I175" i="113" s="1"/>
  <c r="K103" i="113"/>
  <c r="H101" i="113"/>
  <c r="G101" i="113" s="1"/>
  <c r="K176" i="113"/>
  <c r="K175" i="113" s="1"/>
  <c r="I81" i="113"/>
  <c r="I80" i="113" s="1"/>
  <c r="K81" i="113"/>
  <c r="J81" i="113"/>
  <c r="J80" i="113" s="1"/>
  <c r="G83" i="113"/>
  <c r="I150" i="113"/>
  <c r="I149" i="113" s="1"/>
  <c r="I166" i="113"/>
  <c r="I158" i="113" s="1"/>
  <c r="H80" i="113"/>
  <c r="J89" i="113"/>
  <c r="H129" i="113"/>
  <c r="J127" i="113"/>
  <c r="J150" i="113"/>
  <c r="J149" i="113" s="1"/>
  <c r="K150" i="113"/>
  <c r="K149" i="113" s="1"/>
  <c r="J103" i="113"/>
  <c r="I103" i="113" s="1"/>
  <c r="K127" i="113"/>
  <c r="G80" i="113"/>
  <c r="H83" i="113"/>
  <c r="J85" i="113"/>
  <c r="J107" i="113"/>
  <c r="I107" i="113" s="1"/>
  <c r="G140" i="113"/>
  <c r="K166" i="113"/>
  <c r="J166" i="113" s="1"/>
  <c r="L57" i="113"/>
  <c r="F57" i="113"/>
  <c r="H71" i="113"/>
  <c r="H55" i="113" s="1"/>
  <c r="G55" i="113" s="1"/>
  <c r="G54" i="113" s="1"/>
  <c r="L90" i="113"/>
  <c r="L89" i="113" s="1"/>
  <c r="K93" i="113"/>
  <c r="I94" i="113"/>
  <c r="G130" i="113"/>
  <c r="G129" i="113" s="1"/>
  <c r="G141" i="113"/>
  <c r="K142" i="113"/>
  <c r="K44" i="110"/>
  <c r="K24" i="110" s="1"/>
  <c r="L61" i="110"/>
  <c r="N93" i="110"/>
  <c r="J16" i="114" s="1"/>
  <c r="M93" i="110"/>
  <c r="M92" i="110" s="1"/>
  <c r="L93" i="110"/>
  <c r="L92" i="110" s="1"/>
  <c r="L81" i="113"/>
  <c r="L80" i="113" s="1"/>
  <c r="N26" i="110"/>
  <c r="J35" i="110"/>
  <c r="J34" i="110" s="1"/>
  <c r="N92" i="110"/>
  <c r="I92" i="110"/>
  <c r="N16" i="110"/>
  <c r="K61" i="110"/>
  <c r="K141" i="113"/>
  <c r="L140" i="113"/>
  <c r="N186" i="110"/>
  <c r="K186" i="110"/>
  <c r="N15" i="110"/>
  <c r="J11" i="114" s="1"/>
  <c r="K15" i="110"/>
  <c r="J15" i="110" s="1"/>
  <c r="J9" i="110" s="1"/>
  <c r="I35" i="110"/>
  <c r="H43" i="110"/>
  <c r="H42" i="110" s="1"/>
  <c r="N48" i="110"/>
  <c r="H92" i="110"/>
  <c r="N100" i="110"/>
  <c r="M177" i="110"/>
  <c r="M170" i="110" s="1"/>
  <c r="L170" i="110" s="1"/>
  <c r="K170" i="110" s="1"/>
  <c r="I15" i="110"/>
  <c r="I9" i="110" s="1"/>
  <c r="J10" i="110"/>
  <c r="L44" i="110"/>
  <c r="M24" i="110"/>
  <c r="I10" i="110"/>
  <c r="L98" i="113"/>
  <c r="L97" i="113" s="1"/>
  <c r="H83" i="110"/>
  <c r="H67" i="110" s="1"/>
  <c r="H66" i="110" s="1"/>
  <c r="J123" i="110"/>
  <c r="I123" i="110" s="1"/>
  <c r="K113" i="110"/>
  <c r="K110" i="110" s="1"/>
  <c r="L113" i="110"/>
  <c r="I39" i="110"/>
  <c r="M41" i="110"/>
  <c r="M10" i="110" s="1"/>
  <c r="L10" i="110" s="1"/>
  <c r="L46" i="110"/>
  <c r="L49" i="110"/>
  <c r="K49" i="110" s="1"/>
  <c r="J83" i="110"/>
  <c r="J67" i="110" s="1"/>
  <c r="I67" i="110" s="1"/>
  <c r="K93" i="110"/>
  <c r="K92" i="110" s="1"/>
  <c r="N114" i="110"/>
  <c r="J22" i="114" s="1"/>
  <c r="M113" i="110"/>
  <c r="M110" i="110" s="1"/>
  <c r="L149" i="113"/>
  <c r="N161" i="110"/>
  <c r="M161" i="110" s="1"/>
  <c r="L161" i="110" s="1"/>
  <c r="K161" i="110" s="1"/>
  <c r="M61" i="110"/>
  <c r="J14" i="114"/>
  <c r="K107" i="113"/>
  <c r="L93" i="113"/>
  <c r="H129" i="110"/>
  <c r="H123" i="110" s="1"/>
  <c r="H95" i="110"/>
  <c r="F80" i="113"/>
  <c r="F101" i="113"/>
  <c r="F145" i="113"/>
  <c r="H86" i="110"/>
  <c r="N12" i="110"/>
  <c r="L117" i="113"/>
  <c r="F127" i="113"/>
  <c r="F117" i="113" s="1"/>
  <c r="F111" i="113" s="1"/>
  <c r="H12" i="110"/>
  <c r="H153" i="110"/>
  <c r="H148" i="110"/>
  <c r="H152" i="110"/>
  <c r="H113" i="110"/>
  <c r="F71" i="113"/>
  <c r="F83" i="113"/>
  <c r="I140" i="113"/>
  <c r="I142" i="113"/>
  <c r="K140" i="113"/>
  <c r="J141" i="113"/>
  <c r="I141" i="113" s="1"/>
  <c r="L56" i="113"/>
  <c r="K56" i="113"/>
  <c r="J56" i="113"/>
  <c r="I56" i="113"/>
  <c r="H56" i="113" s="1"/>
  <c r="G56" i="113"/>
  <c r="F56" i="113" s="1"/>
  <c r="L54" i="113"/>
  <c r="L53" i="113"/>
  <c r="K53" i="113"/>
  <c r="J53" i="113"/>
  <c r="I53" i="113"/>
  <c r="F52" i="113"/>
  <c r="L51" i="113"/>
  <c r="F51" i="113"/>
  <c r="L50" i="113"/>
  <c r="K50" i="113"/>
  <c r="J50" i="113"/>
  <c r="I50" i="113"/>
  <c r="H50" i="113"/>
  <c r="G50" i="113"/>
  <c r="F50" i="113" s="1"/>
  <c r="H48" i="113"/>
  <c r="G48" i="113"/>
  <c r="F48" i="113"/>
  <c r="L47" i="113"/>
  <c r="H47" i="113"/>
  <c r="G47" i="113"/>
  <c r="F47" i="113"/>
  <c r="L46" i="113"/>
  <c r="K46" i="113"/>
  <c r="J46" i="113"/>
  <c r="I46" i="113"/>
  <c r="L45" i="113"/>
  <c r="K45" i="113"/>
  <c r="J45" i="113"/>
  <c r="I45" i="113"/>
  <c r="H45" i="113"/>
  <c r="G45" i="113"/>
  <c r="F45" i="113"/>
  <c r="L43" i="113"/>
  <c r="L41" i="113"/>
  <c r="K39" i="113"/>
  <c r="J39" i="113"/>
  <c r="I39" i="113"/>
  <c r="K38" i="113"/>
  <c r="J38" i="113"/>
  <c r="I38" i="113"/>
  <c r="F38" i="113"/>
  <c r="L37" i="113"/>
  <c r="K37" i="113" s="1"/>
  <c r="J37" i="113"/>
  <c r="F37" i="113"/>
  <c r="L36" i="113" s="1"/>
  <c r="J36" i="113"/>
  <c r="I36" i="113"/>
  <c r="K35" i="113" s="1"/>
  <c r="F35" i="113"/>
  <c r="L34" i="113"/>
  <c r="K33" i="113"/>
  <c r="J33" i="113"/>
  <c r="J29" i="113" s="1"/>
  <c r="I33" i="113"/>
  <c r="I29" i="113" s="1"/>
  <c r="F33" i="113"/>
  <c r="F31" i="113" s="1"/>
  <c r="F30" i="113" s="1"/>
  <c r="K32" i="113"/>
  <c r="J32" i="113"/>
  <c r="F32" i="113"/>
  <c r="L30" i="113"/>
  <c r="H31" i="113"/>
  <c r="H30" i="113" s="1"/>
  <c r="G31" i="113"/>
  <c r="G30" i="113" s="1"/>
  <c r="K29" i="113"/>
  <c r="F29" i="113"/>
  <c r="F28" i="113" s="1"/>
  <c r="F27" i="113" s="1"/>
  <c r="H28" i="113"/>
  <c r="H27" i="113" s="1"/>
  <c r="G28" i="113"/>
  <c r="G27" i="113" s="1"/>
  <c r="L27" i="113"/>
  <c r="L26" i="113"/>
  <c r="K26" i="113"/>
  <c r="J26" i="113"/>
  <c r="I26" i="113"/>
  <c r="N25" i="113"/>
  <c r="J140" i="113" l="1"/>
  <c r="F107" i="113"/>
  <c r="L49" i="113"/>
  <c r="H65" i="110"/>
  <c r="H35" i="110"/>
  <c r="H34" i="110" s="1"/>
  <c r="H26" i="110" s="1"/>
  <c r="N25" i="110" s="1"/>
  <c r="H54" i="113"/>
  <c r="N113" i="110"/>
  <c r="J66" i="110"/>
  <c r="I49" i="113"/>
  <c r="K49" i="113"/>
  <c r="J49" i="113" s="1"/>
  <c r="K80" i="113"/>
  <c r="K158" i="113"/>
  <c r="J158" i="113" s="1"/>
  <c r="G53" i="113"/>
  <c r="I32" i="113"/>
  <c r="J35" i="113"/>
  <c r="J101" i="113"/>
  <c r="I101" i="113" s="1"/>
  <c r="I98" i="113" s="1"/>
  <c r="I93" i="113"/>
  <c r="I85" i="113"/>
  <c r="I37" i="113"/>
  <c r="H53" i="113"/>
  <c r="I35" i="113"/>
  <c r="L88" i="113"/>
  <c r="K10" i="110"/>
  <c r="K9" i="110" s="1"/>
  <c r="L9" i="110"/>
  <c r="L110" i="110"/>
  <c r="M109" i="110"/>
  <c r="L24" i="110"/>
  <c r="L23" i="110" s="1"/>
  <c r="K23" i="110" s="1"/>
  <c r="M23" i="110"/>
  <c r="I34" i="110"/>
  <c r="J26" i="110"/>
  <c r="J24" i="110"/>
  <c r="I65" i="110"/>
  <c r="I66" i="110"/>
  <c r="J20" i="110"/>
  <c r="J65" i="110"/>
  <c r="L102" i="113"/>
  <c r="L101" i="113" s="1"/>
  <c r="K101" i="113" s="1"/>
  <c r="K98" i="113" s="1"/>
  <c r="L40" i="113"/>
  <c r="L39" i="113" s="1"/>
  <c r="F140" i="113"/>
  <c r="F136" i="113"/>
  <c r="F141" i="113"/>
  <c r="N11" i="110"/>
  <c r="J10" i="114" s="1"/>
  <c r="N10" i="110"/>
  <c r="H9" i="110"/>
  <c r="H10" i="110"/>
  <c r="N9" i="110" s="1"/>
  <c r="M9" i="110" s="1"/>
  <c r="H24" i="110"/>
  <c r="H23" i="110" s="1"/>
  <c r="F55" i="113"/>
  <c r="F54" i="113" s="1"/>
  <c r="L29" i="113"/>
  <c r="L25" i="113" s="1"/>
  <c r="K25" i="113"/>
  <c r="J25" i="113"/>
  <c r="I25" i="113"/>
  <c r="J24" i="113"/>
  <c r="I24" i="113" s="1"/>
  <c r="H24" i="113"/>
  <c r="G24" i="113"/>
  <c r="F24" i="113"/>
  <c r="F23" i="113"/>
  <c r="L22" i="113"/>
  <c r="L21" i="113" s="1"/>
  <c r="F22" i="113"/>
  <c r="K21" i="113"/>
  <c r="J21" i="113"/>
  <c r="I21" i="113"/>
  <c r="H21" i="113"/>
  <c r="G21" i="113"/>
  <c r="G14" i="113" s="1"/>
  <c r="F21" i="113"/>
  <c r="L19" i="113"/>
  <c r="L16" i="113"/>
  <c r="K16" i="113"/>
  <c r="J16" i="113"/>
  <c r="I16" i="113"/>
  <c r="K15" i="113"/>
  <c r="J15" i="113"/>
  <c r="I15" i="113"/>
  <c r="H15" i="113"/>
  <c r="G15" i="113"/>
  <c r="F15" i="113"/>
  <c r="F13" i="113"/>
  <c r="L12" i="113"/>
  <c r="L11" i="113" s="1"/>
  <c r="F12" i="113"/>
  <c r="K11" i="113"/>
  <c r="K9" i="113" s="1"/>
  <c r="J11" i="113"/>
  <c r="I11" i="113"/>
  <c r="I9" i="113" s="1"/>
  <c r="H11" i="113"/>
  <c r="G11" i="113"/>
  <c r="J9" i="113"/>
  <c r="H20" i="110" l="1"/>
  <c r="F14" i="113"/>
  <c r="K14" i="113"/>
  <c r="J98" i="113"/>
  <c r="K97" i="113"/>
  <c r="J14" i="113"/>
  <c r="I14" i="113" s="1"/>
  <c r="H14" i="113" s="1"/>
  <c r="H9" i="113" s="1"/>
  <c r="G9" i="113" s="1"/>
  <c r="L14" i="113"/>
  <c r="J23" i="110"/>
  <c r="I20" i="110"/>
  <c r="I26" i="110"/>
  <c r="I24" i="110"/>
  <c r="I23" i="110" s="1"/>
  <c r="L109" i="110"/>
  <c r="K109" i="110" s="1"/>
  <c r="F11" i="113"/>
  <c r="L15" i="113"/>
  <c r="F53" i="113"/>
  <c r="L10" i="113"/>
  <c r="L24" i="113"/>
  <c r="I36" i="114"/>
  <c r="H36" i="114"/>
  <c r="G36" i="114"/>
  <c r="I35" i="114"/>
  <c r="H35" i="114"/>
  <c r="G35" i="114"/>
  <c r="I34" i="114" s="1"/>
  <c r="H34" i="114"/>
  <c r="G34" i="114"/>
  <c r="I33" i="114"/>
  <c r="H33" i="114"/>
  <c r="G33" i="114"/>
  <c r="G32" i="114" s="1"/>
  <c r="J32" i="114"/>
  <c r="I32" i="114"/>
  <c r="I31" i="114"/>
  <c r="H31" i="114"/>
  <c r="G31" i="114" s="1"/>
  <c r="G29" i="114" s="1"/>
  <c r="I30" i="114"/>
  <c r="H30" i="114"/>
  <c r="G30" i="114"/>
  <c r="J29" i="114"/>
  <c r="I29" i="114"/>
  <c r="H29" i="114"/>
  <c r="I28" i="114"/>
  <c r="I27" i="114" s="1"/>
  <c r="H28" i="114"/>
  <c r="G28" i="114"/>
  <c r="H27" i="114"/>
  <c r="J26" i="114"/>
  <c r="I25" i="114"/>
  <c r="I23" i="114" s="1"/>
  <c r="H25" i="114"/>
  <c r="H23" i="114" s="1"/>
  <c r="G25" i="114"/>
  <c r="G23" i="114" s="1"/>
  <c r="F25" i="114"/>
  <c r="E25" i="114"/>
  <c r="E23" i="114" s="1"/>
  <c r="D25" i="114"/>
  <c r="D24" i="114" s="1"/>
  <c r="I24" i="114"/>
  <c r="H24" i="114"/>
  <c r="G24" i="114"/>
  <c r="F24" i="114"/>
  <c r="J23" i="114"/>
  <c r="F21" i="114"/>
  <c r="E21" i="114" s="1"/>
  <c r="J21" i="114"/>
  <c r="G20" i="114"/>
  <c r="D20" i="114"/>
  <c r="I19" i="114"/>
  <c r="H19" i="114"/>
  <c r="G19" i="114"/>
  <c r="D19" i="114"/>
  <c r="I18" i="114"/>
  <c r="H18" i="114"/>
  <c r="G18" i="114"/>
  <c r="D18" i="114"/>
  <c r="J17" i="114"/>
  <c r="H16" i="114"/>
  <c r="I16" i="114"/>
  <c r="F16" i="114"/>
  <c r="E16" i="114"/>
  <c r="E15" i="114" s="1"/>
  <c r="D16" i="114"/>
  <c r="J15" i="114"/>
  <c r="I15" i="114" s="1"/>
  <c r="D15" i="114"/>
  <c r="I14" i="114"/>
  <c r="H14" i="114"/>
  <c r="G14" i="114" s="1"/>
  <c r="I13" i="114"/>
  <c r="H13" i="114"/>
  <c r="G13" i="114"/>
  <c r="F13" i="114"/>
  <c r="E13" i="114"/>
  <c r="D13" i="114"/>
  <c r="I12" i="114"/>
  <c r="H12" i="114"/>
  <c r="G12" i="114"/>
  <c r="F12" i="114"/>
  <c r="E12" i="114"/>
  <c r="D12" i="114"/>
  <c r="I11" i="114"/>
  <c r="H11" i="114"/>
  <c r="G11" i="114"/>
  <c r="F11" i="114"/>
  <c r="E11" i="114"/>
  <c r="D11" i="114"/>
  <c r="I9" i="114"/>
  <c r="H9" i="114"/>
  <c r="G9" i="114"/>
  <c r="F9" i="113" l="1"/>
  <c r="D23" i="114"/>
  <c r="I21" i="114"/>
  <c r="G16" i="114"/>
  <c r="F23" i="114"/>
  <c r="G27" i="114"/>
  <c r="H15" i="114"/>
  <c r="F9" i="114"/>
  <c r="E9" i="114" s="1"/>
  <c r="D9" i="114" s="1"/>
  <c r="E24" i="114"/>
  <c r="I26" i="114"/>
  <c r="H26" i="114" s="1"/>
  <c r="G26" i="114" s="1"/>
  <c r="H32" i="114"/>
  <c r="J97" i="113"/>
  <c r="I97" i="113" s="1"/>
  <c r="D21" i="114"/>
  <c r="I20" i="114" s="1"/>
  <c r="H20" i="114" s="1"/>
  <c r="K24" i="113"/>
  <c r="L9" i="113"/>
  <c r="L180" i="113" s="1"/>
  <c r="N24" i="113"/>
  <c r="N26" i="113" s="1"/>
  <c r="L66" i="108"/>
  <c r="K66" i="108"/>
  <c r="J66" i="108"/>
  <c r="I66" i="108"/>
  <c r="H66" i="108"/>
  <c r="G66" i="108"/>
  <c r="G15" i="114" l="1"/>
  <c r="F15" i="114" s="1"/>
  <c r="H21" i="114"/>
  <c r="P64" i="108"/>
  <c r="O64" i="108"/>
  <c r="N64" i="108"/>
  <c r="M64" i="108"/>
  <c r="Q63" i="108"/>
  <c r="P63" i="108"/>
  <c r="O63" i="108"/>
  <c r="N63" i="108"/>
  <c r="M63" i="108"/>
  <c r="I63" i="108"/>
  <c r="R63" i="108" l="1"/>
  <c r="G21" i="114"/>
  <c r="R62" i="108"/>
  <c r="Q62" i="108"/>
  <c r="P62" i="108"/>
  <c r="O62" i="108"/>
  <c r="N62" i="108"/>
  <c r="M62" i="108"/>
  <c r="L62" i="108"/>
  <c r="K62" i="108"/>
  <c r="J62" i="108"/>
  <c r="I62" i="108"/>
  <c r="H62" i="108"/>
  <c r="G62" i="108"/>
  <c r="Q61" i="108"/>
  <c r="P61" i="108"/>
  <c r="O61" i="108"/>
  <c r="N61" i="108"/>
  <c r="M61" i="108"/>
  <c r="Q60" i="108"/>
  <c r="Q59" i="108" s="1"/>
  <c r="P60" i="108"/>
  <c r="O60" i="108"/>
  <c r="N60" i="108"/>
  <c r="M60" i="108"/>
  <c r="L59" i="108"/>
  <c r="K59" i="108"/>
  <c r="K58" i="108" s="1"/>
  <c r="K57" i="108" s="1"/>
  <c r="J59" i="108"/>
  <c r="P59" i="108" s="1"/>
  <c r="I59" i="108"/>
  <c r="H59" i="108"/>
  <c r="G59" i="108"/>
  <c r="G58" i="108" s="1"/>
  <c r="G57" i="108" s="1"/>
  <c r="L58" i="108"/>
  <c r="J58" i="108"/>
  <c r="J57" i="108" s="1"/>
  <c r="H58" i="108"/>
  <c r="I58" i="108" s="1"/>
  <c r="I57" i="108" s="1"/>
  <c r="F58" i="108"/>
  <c r="E58" i="108"/>
  <c r="D58" i="108"/>
  <c r="L57" i="108"/>
  <c r="R55" i="108"/>
  <c r="R54" i="108" s="1"/>
  <c r="Q55" i="108"/>
  <c r="L55" i="108"/>
  <c r="K55" i="108"/>
  <c r="J55" i="108"/>
  <c r="I55" i="108"/>
  <c r="I54" i="108" s="1"/>
  <c r="H55" i="108"/>
  <c r="G55" i="108"/>
  <c r="G54" i="108" s="1"/>
  <c r="F55" i="108"/>
  <c r="E55" i="108"/>
  <c r="E54" i="108" s="1"/>
  <c r="E53" i="108" s="1"/>
  <c r="D55" i="108"/>
  <c r="K54" i="108"/>
  <c r="J54" i="108" s="1"/>
  <c r="Q53" i="108"/>
  <c r="P53" i="108"/>
  <c r="O53" i="108"/>
  <c r="N53" i="108"/>
  <c r="M53" i="108"/>
  <c r="I53" i="108"/>
  <c r="Q58" i="108" l="1"/>
  <c r="F54" i="108"/>
  <c r="F53" i="108" s="1"/>
  <c r="M59" i="108"/>
  <c r="M58" i="108" s="1"/>
  <c r="Q54" i="108"/>
  <c r="L54" i="108" s="1"/>
  <c r="D54" i="108"/>
  <c r="D53" i="108" s="1"/>
  <c r="H54" i="108"/>
  <c r="H57" i="108"/>
  <c r="P58" i="108"/>
  <c r="O59" i="108"/>
  <c r="N59" i="108"/>
  <c r="R60" i="108"/>
  <c r="Q52" i="108"/>
  <c r="P52" i="108"/>
  <c r="O52" i="108"/>
  <c r="N52" i="108"/>
  <c r="M52" i="108"/>
  <c r="L52" i="108"/>
  <c r="K52" i="108"/>
  <c r="J52" i="108"/>
  <c r="H52" i="108"/>
  <c r="G52" i="108"/>
  <c r="Q51" i="108"/>
  <c r="P51" i="108"/>
  <c r="O51" i="108"/>
  <c r="N51" i="108"/>
  <c r="M51" i="108"/>
  <c r="L51" i="108"/>
  <c r="K51" i="108"/>
  <c r="J51" i="108"/>
  <c r="H51" i="108"/>
  <c r="G51" i="108"/>
  <c r="F51" i="108"/>
  <c r="E51" i="108"/>
  <c r="D51" i="108"/>
  <c r="I52" i="108" l="1"/>
  <c r="I51" i="108"/>
  <c r="R59" i="108"/>
  <c r="O58" i="108"/>
  <c r="N58" i="108" s="1"/>
  <c r="K50" i="108"/>
  <c r="J50" i="108" s="1"/>
  <c r="H50" i="108"/>
  <c r="G50" i="108"/>
  <c r="K49" i="108"/>
  <c r="K46" i="108"/>
  <c r="F46" i="108"/>
  <c r="F41" i="108" s="1"/>
  <c r="E46" i="108"/>
  <c r="D46" i="108"/>
  <c r="D41" i="108" s="1"/>
  <c r="J45" i="108"/>
  <c r="Q45" i="108" s="1"/>
  <c r="Q44" i="108" s="1"/>
  <c r="F45" i="108"/>
  <c r="E45" i="108"/>
  <c r="D45" i="108"/>
  <c r="J44" i="108"/>
  <c r="I44" i="108"/>
  <c r="I43" i="108" s="1"/>
  <c r="H43" i="108" s="1"/>
  <c r="H44" i="108"/>
  <c r="G44" i="108"/>
  <c r="F44" i="108" s="1"/>
  <c r="G43" i="108"/>
  <c r="F43" i="108" s="1"/>
  <c r="Q41" i="108"/>
  <c r="K41" i="108"/>
  <c r="E41" i="108"/>
  <c r="E40" i="108" s="1"/>
  <c r="E39" i="108" s="1"/>
  <c r="K40" i="108"/>
  <c r="K39" i="108" s="1"/>
  <c r="J40" i="108"/>
  <c r="I40" i="108"/>
  <c r="I39" i="108" s="1"/>
  <c r="H40" i="108"/>
  <c r="G40" i="108"/>
  <c r="J39" i="108"/>
  <c r="H39" i="108"/>
  <c r="H38" i="108" s="1"/>
  <c r="J38" i="108"/>
  <c r="Q37" i="108"/>
  <c r="R37" i="108" s="1"/>
  <c r="I37" i="108"/>
  <c r="J37" i="108" s="1"/>
  <c r="F37" i="108"/>
  <c r="Q36" i="108"/>
  <c r="R36" i="108" s="1"/>
  <c r="I36" i="108"/>
  <c r="G36" i="108"/>
  <c r="G35" i="108" s="1"/>
  <c r="F36" i="108"/>
  <c r="D36" i="108"/>
  <c r="Q35" i="108"/>
  <c r="R35" i="108" s="1"/>
  <c r="I35" i="108"/>
  <c r="J35" i="108" s="1"/>
  <c r="E35" i="108"/>
  <c r="Q34" i="108"/>
  <c r="R34" i="108" s="1"/>
  <c r="H34" i="108"/>
  <c r="Q33" i="108"/>
  <c r="P33" i="108"/>
  <c r="O33" i="108"/>
  <c r="N33" i="108"/>
  <c r="M33" i="108"/>
  <c r="K33" i="108"/>
  <c r="Q32" i="108"/>
  <c r="P32" i="108"/>
  <c r="O32" i="108"/>
  <c r="N32" i="108"/>
  <c r="M32" i="108"/>
  <c r="K32" i="108"/>
  <c r="J32" i="108"/>
  <c r="I32" i="108"/>
  <c r="H32" i="108"/>
  <c r="G32" i="108"/>
  <c r="E32" i="108"/>
  <c r="E31" i="108" s="1"/>
  <c r="D32" i="108"/>
  <c r="Q31" i="108"/>
  <c r="Q30" i="108" s="1"/>
  <c r="O31" i="108"/>
  <c r="O30" i="108" s="1"/>
  <c r="O29" i="108" s="1"/>
  <c r="N31" i="108"/>
  <c r="N30" i="108" s="1"/>
  <c r="M31" i="108"/>
  <c r="M30" i="108" s="1"/>
  <c r="M29" i="108" s="1"/>
  <c r="K31" i="108"/>
  <c r="G31" i="108"/>
  <c r="F31" i="108"/>
  <c r="P30" i="108"/>
  <c r="K30" i="108"/>
  <c r="I30" i="108"/>
  <c r="I29" i="108" s="1"/>
  <c r="H30" i="108"/>
  <c r="F30" i="108"/>
  <c r="K29" i="108"/>
  <c r="F29" i="108"/>
  <c r="F40" i="108" l="1"/>
  <c r="G30" i="108"/>
  <c r="H29" i="108"/>
  <c r="G39" i="108"/>
  <c r="F39" i="108" s="1"/>
  <c r="I50" i="108"/>
  <c r="I38" i="108"/>
  <c r="J49" i="108"/>
  <c r="D31" i="108"/>
  <c r="L33" i="108"/>
  <c r="L32" i="108" s="1"/>
  <c r="F35" i="108"/>
  <c r="D35" i="108"/>
  <c r="E44" i="108"/>
  <c r="D44" i="108" s="1"/>
  <c r="L41" i="108"/>
  <c r="N29" i="108"/>
  <c r="E30" i="108"/>
  <c r="L31" i="108"/>
  <c r="R31" i="108"/>
  <c r="R30" i="108" s="1"/>
  <c r="G34" i="108"/>
  <c r="F34" i="108" s="1"/>
  <c r="E34" i="108" s="1"/>
  <c r="D34" i="108" s="1"/>
  <c r="R33" i="108" s="1"/>
  <c r="R32" i="108" s="1"/>
  <c r="D40" i="108"/>
  <c r="Q40" i="108"/>
  <c r="L40" i="108" s="1"/>
  <c r="N45" i="108"/>
  <c r="P45" i="108"/>
  <c r="P44" i="108" s="1"/>
  <c r="R45" i="108"/>
  <c r="I49" i="108"/>
  <c r="H49" i="108" s="1"/>
  <c r="G49" i="108" s="1"/>
  <c r="L46" i="108" s="1"/>
  <c r="R44" i="108"/>
  <c r="R43" i="108" s="1"/>
  <c r="K45" i="108"/>
  <c r="M45" i="108"/>
  <c r="O45" i="108"/>
  <c r="P57" i="108"/>
  <c r="O57" i="108" s="1"/>
  <c r="L29" i="108"/>
  <c r="L30" i="108"/>
  <c r="K28" i="108"/>
  <c r="H27" i="108"/>
  <c r="F27" i="108"/>
  <c r="H26" i="108"/>
  <c r="H25" i="108" s="1"/>
  <c r="F26" i="108"/>
  <c r="D26" i="108"/>
  <c r="F25" i="108"/>
  <c r="E25" i="108"/>
  <c r="D25" i="108"/>
  <c r="F24" i="108"/>
  <c r="E24" i="108"/>
  <c r="D24" i="108"/>
  <c r="K23" i="108"/>
  <c r="J23" i="108"/>
  <c r="E23" i="108"/>
  <c r="Q22" i="108"/>
  <c r="O22" i="108"/>
  <c r="O21" i="108" s="1"/>
  <c r="N22" i="108"/>
  <c r="M22" i="108"/>
  <c r="K22" i="108"/>
  <c r="F22" i="108"/>
  <c r="Q21" i="108"/>
  <c r="P21" i="108"/>
  <c r="P20" i="108" s="1"/>
  <c r="K21" i="108"/>
  <c r="L21" i="108" s="1"/>
  <c r="I21" i="108"/>
  <c r="I20" i="108" s="1"/>
  <c r="H21" i="108"/>
  <c r="H20" i="108" s="1"/>
  <c r="G21" i="108"/>
  <c r="D21" i="108"/>
  <c r="J20" i="108"/>
  <c r="G20" i="108"/>
  <c r="E20" i="108"/>
  <c r="Q19" i="108"/>
  <c r="K19" i="108"/>
  <c r="I19" i="108"/>
  <c r="F19" i="108"/>
  <c r="Q18" i="108"/>
  <c r="Q17" i="108" s="1"/>
  <c r="O18" i="108"/>
  <c r="N18" i="108"/>
  <c r="N17" i="108" s="1"/>
  <c r="M17" i="108" s="1"/>
  <c r="M18" i="108"/>
  <c r="K18" i="108"/>
  <c r="I18" i="108"/>
  <c r="F18" i="108"/>
  <c r="P17" i="108"/>
  <c r="J17" i="108"/>
  <c r="H17" i="108"/>
  <c r="I17" i="108" s="1"/>
  <c r="G17" i="108"/>
  <c r="E17" i="108"/>
  <c r="D17" i="108"/>
  <c r="Q16" i="108"/>
  <c r="P16" i="108"/>
  <c r="P11" i="108" s="1"/>
  <c r="P10" i="108" s="1"/>
  <c r="O16" i="108"/>
  <c r="N16" i="108"/>
  <c r="M16" i="108"/>
  <c r="K16" i="108"/>
  <c r="I16" i="108"/>
  <c r="Q15" i="108"/>
  <c r="R15" i="108" s="1"/>
  <c r="I15" i="108"/>
  <c r="Q14" i="108"/>
  <c r="Q13" i="108" s="1"/>
  <c r="O14" i="108"/>
  <c r="O13" i="108" s="1"/>
  <c r="N14" i="108"/>
  <c r="N13" i="108" s="1"/>
  <c r="M14" i="108"/>
  <c r="K14" i="108"/>
  <c r="I14" i="108"/>
  <c r="F14" i="108"/>
  <c r="P13" i="108"/>
  <c r="J13" i="108"/>
  <c r="H13" i="108"/>
  <c r="G13" i="108"/>
  <c r="Q12" i="108"/>
  <c r="O12" i="108"/>
  <c r="O11" i="108" s="1"/>
  <c r="N12" i="108"/>
  <c r="M12" i="108"/>
  <c r="M11" i="108" s="1"/>
  <c r="K12" i="108"/>
  <c r="L12" i="108" s="1"/>
  <c r="F12" i="108"/>
  <c r="H11" i="108"/>
  <c r="G11" i="108"/>
  <c r="E11" i="108"/>
  <c r="D11" i="108"/>
  <c r="H10" i="108"/>
  <c r="G38" i="108" l="1"/>
  <c r="G29" i="108"/>
  <c r="I11" i="108"/>
  <c r="F17" i="108"/>
  <c r="M10" i="108"/>
  <c r="L14" i="108"/>
  <c r="R14" i="108"/>
  <c r="R13" i="108" s="1"/>
  <c r="R16" i="108"/>
  <c r="D30" i="108"/>
  <c r="G10" i="108"/>
  <c r="I25" i="108"/>
  <c r="H24" i="108"/>
  <c r="F11" i="108"/>
  <c r="L22" i="108"/>
  <c r="D23" i="108"/>
  <c r="M21" i="108"/>
  <c r="M20" i="108" s="1"/>
  <c r="O44" i="108"/>
  <c r="N44" i="108" s="1"/>
  <c r="M44" i="108" s="1"/>
  <c r="E43" i="108"/>
  <c r="D43" i="108" s="1"/>
  <c r="Q43" i="108"/>
  <c r="P43" i="108" s="1"/>
  <c r="O43" i="108" s="1"/>
  <c r="N43" i="108" s="1"/>
  <c r="M43" i="108" s="1"/>
  <c r="R42" i="108"/>
  <c r="I28" i="108"/>
  <c r="H28" i="108" s="1"/>
  <c r="L28" i="108"/>
  <c r="M13" i="108"/>
  <c r="L16" i="108"/>
  <c r="O17" i="108"/>
  <c r="O10" i="108" s="1"/>
  <c r="L19" i="108"/>
  <c r="I23" i="108"/>
  <c r="H23" i="108" s="1"/>
  <c r="I13" i="108"/>
  <c r="J11" i="108"/>
  <c r="K44" i="108"/>
  <c r="L45" i="108"/>
  <c r="L44" i="108" s="1"/>
  <c r="R22" i="108"/>
  <c r="R21" i="108" s="1"/>
  <c r="R20" i="108" s="1"/>
  <c r="Q20" i="108" s="1"/>
  <c r="D39" i="108"/>
  <c r="R29" i="108"/>
  <c r="N11" i="108"/>
  <c r="N10" i="108" s="1"/>
  <c r="R12" i="108"/>
  <c r="N57" i="108"/>
  <c r="M57" i="108" s="1"/>
  <c r="M50" i="108" s="1"/>
  <c r="L50" i="108" s="1"/>
  <c r="O50" i="108"/>
  <c r="P50" i="108"/>
  <c r="P49" i="108" s="1"/>
  <c r="L18" i="108"/>
  <c r="R18" i="108"/>
  <c r="R17" i="108" s="1"/>
  <c r="L20" i="108"/>
  <c r="K20" i="108"/>
  <c r="N21" i="108"/>
  <c r="O20" i="108"/>
  <c r="D20" i="108"/>
  <c r="R19" i="108" s="1"/>
  <c r="F21" i="108"/>
  <c r="F20" i="108" s="1"/>
  <c r="G28" i="108" l="1"/>
  <c r="G23" i="108" s="1"/>
  <c r="F23" i="108" s="1"/>
  <c r="F10" i="108"/>
  <c r="E10" i="108" s="1"/>
  <c r="D10" i="108" s="1"/>
  <c r="R11" i="108"/>
  <c r="Q11" i="108" s="1"/>
  <c r="D9" i="108"/>
  <c r="O49" i="108"/>
  <c r="Q29" i="108"/>
  <c r="P29" i="108" s="1"/>
  <c r="R28" i="108"/>
  <c r="L43" i="108"/>
  <c r="K43" i="108" s="1"/>
  <c r="J43" i="108" s="1"/>
  <c r="J42" i="108" s="1"/>
  <c r="I42" i="108" s="1"/>
  <c r="H42" i="108" s="1"/>
  <c r="G42" i="108" s="1"/>
  <c r="R41" i="108" s="1"/>
  <c r="R40" i="108" s="1"/>
  <c r="R39" i="108" s="1"/>
  <c r="N20" i="108"/>
  <c r="N50" i="108"/>
  <c r="N49" i="108" s="1"/>
  <c r="M49" i="108" s="1"/>
  <c r="L49" i="108" s="1"/>
  <c r="Q42" i="108"/>
  <c r="P42" i="108" s="1"/>
  <c r="O42" i="108" s="1"/>
  <c r="N42" i="108" s="1"/>
  <c r="M42" i="108" s="1"/>
  <c r="Q10" i="108"/>
  <c r="L66" i="75"/>
  <c r="K66" i="75"/>
  <c r="J66" i="75"/>
  <c r="I66" i="75"/>
  <c r="H66" i="75"/>
  <c r="G66" i="75"/>
  <c r="R10" i="108" l="1"/>
  <c r="L42" i="108"/>
  <c r="K42" i="108" s="1"/>
  <c r="Q39" i="108"/>
  <c r="P35" i="110"/>
  <c r="P37" i="110" s="1"/>
  <c r="R38" i="108"/>
  <c r="Q28" i="108"/>
  <c r="R23" i="108"/>
  <c r="P64" i="75"/>
  <c r="O64" i="75"/>
  <c r="N64" i="75"/>
  <c r="M64" i="75"/>
  <c r="P63" i="75"/>
  <c r="O63" i="75"/>
  <c r="N63" i="75"/>
  <c r="M63" i="75"/>
  <c r="I63" i="75"/>
  <c r="L62" i="75"/>
  <c r="K62" i="75"/>
  <c r="R9" i="108" l="1"/>
  <c r="L39" i="108"/>
  <c r="Q38" i="108"/>
  <c r="P28" i="108"/>
  <c r="O28" i="108" s="1"/>
  <c r="N28" i="108" s="1"/>
  <c r="M28" i="108" s="1"/>
  <c r="Q23" i="108"/>
  <c r="J62" i="75"/>
  <c r="I62" i="75"/>
  <c r="H62" i="75"/>
  <c r="G62" i="75"/>
  <c r="F62" i="75"/>
  <c r="E62" i="75"/>
  <c r="P61" i="75"/>
  <c r="O61" i="75"/>
  <c r="N61" i="75"/>
  <c r="M61" i="75"/>
  <c r="L61" i="75"/>
  <c r="K61" i="75"/>
  <c r="J61" i="75"/>
  <c r="I61" i="75"/>
  <c r="H61" i="75"/>
  <c r="G61" i="75"/>
  <c r="P60" i="75"/>
  <c r="O60" i="75"/>
  <c r="N60" i="75"/>
  <c r="M60" i="75"/>
  <c r="P59" i="75"/>
  <c r="O59" i="75"/>
  <c r="N59" i="75"/>
  <c r="M59" i="75"/>
  <c r="L58" i="75"/>
  <c r="K58" i="75"/>
  <c r="J58" i="75"/>
  <c r="O58" i="75" s="1"/>
  <c r="I58" i="75"/>
  <c r="H58" i="75"/>
  <c r="H57" i="75" s="1"/>
  <c r="G57" i="75" s="1"/>
  <c r="G58" i="75"/>
  <c r="L57" i="75"/>
  <c r="K57" i="75"/>
  <c r="J57" i="75"/>
  <c r="F57" i="75"/>
  <c r="E57" i="75"/>
  <c r="D57" i="75"/>
  <c r="I57" i="75" l="1"/>
  <c r="N58" i="75"/>
  <c r="P58" i="75"/>
  <c r="P57" i="75"/>
  <c r="O57" i="75" s="1"/>
  <c r="N57" i="75" s="1"/>
  <c r="M57" i="75" s="1"/>
  <c r="M58" i="75"/>
  <c r="P23" i="108"/>
  <c r="O23" i="108" s="1"/>
  <c r="Q9" i="108"/>
  <c r="L38" i="108"/>
  <c r="K38" i="108" s="1"/>
  <c r="F9" i="108"/>
  <c r="J56" i="75"/>
  <c r="I56" i="75" s="1"/>
  <c r="H56" i="75"/>
  <c r="G56" i="75" s="1"/>
  <c r="L54" i="75"/>
  <c r="L53" i="75" s="1"/>
  <c r="K53" i="75" s="1"/>
  <c r="K54" i="75"/>
  <c r="J54" i="75"/>
  <c r="I54" i="75"/>
  <c r="H54" i="75"/>
  <c r="H53" i="75" s="1"/>
  <c r="G53" i="75" s="1"/>
  <c r="G54" i="75"/>
  <c r="F54" i="75"/>
  <c r="E54" i="75"/>
  <c r="D54" i="75"/>
  <c r="D53" i="75" s="1"/>
  <c r="J53" i="75"/>
  <c r="I53" i="75" s="1"/>
  <c r="F53" i="75"/>
  <c r="E53" i="75" s="1"/>
  <c r="P52" i="75"/>
  <c r="P50" i="75" s="1"/>
  <c r="O52" i="75"/>
  <c r="N52" i="75"/>
  <c r="N50" i="75" s="1"/>
  <c r="M52" i="75"/>
  <c r="I52" i="75"/>
  <c r="L51" i="75"/>
  <c r="K51" i="75"/>
  <c r="J51" i="75"/>
  <c r="I51" i="75" s="1"/>
  <c r="H51" i="75"/>
  <c r="G51" i="75"/>
  <c r="O50" i="75"/>
  <c r="M50" i="75"/>
  <c r="L50" i="75"/>
  <c r="K50" i="75"/>
  <c r="J50" i="75"/>
  <c r="H50" i="75"/>
  <c r="G50" i="75"/>
  <c r="F50" i="75"/>
  <c r="E50" i="75"/>
  <c r="D50" i="75"/>
  <c r="P49" i="75" l="1"/>
  <c r="I50" i="75"/>
  <c r="F52" i="75"/>
  <c r="E52" i="75" s="1"/>
  <c r="D52" i="75" s="1"/>
  <c r="P51" i="75" s="1"/>
  <c r="O51" i="75" s="1"/>
  <c r="N51" i="75" s="1"/>
  <c r="M51" i="75" s="1"/>
  <c r="P56" i="75"/>
  <c r="O56" i="75" s="1"/>
  <c r="N23" i="108"/>
  <c r="M23" i="108" s="1"/>
  <c r="L23" i="108" s="1"/>
  <c r="O9" i="108"/>
  <c r="P9" i="108"/>
  <c r="E9" i="108"/>
  <c r="F62" i="108"/>
  <c r="J49" i="75"/>
  <c r="I49" i="75" s="1"/>
  <c r="H49" i="75" s="1"/>
  <c r="G49" i="75"/>
  <c r="L47" i="75"/>
  <c r="K47" i="75"/>
  <c r="F47" i="75"/>
  <c r="E47" i="75"/>
  <c r="D47" i="75"/>
  <c r="P48" i="75" l="1"/>
  <c r="N9" i="108"/>
  <c r="M9" i="108" s="1"/>
  <c r="M65" i="108" s="1"/>
  <c r="N56" i="75"/>
  <c r="O49" i="75"/>
  <c r="E62" i="108"/>
  <c r="F65" i="108"/>
  <c r="F63" i="108"/>
  <c r="J46" i="75"/>
  <c r="F46" i="75"/>
  <c r="E46" i="75"/>
  <c r="E45" i="75" s="1"/>
  <c r="D46" i="75"/>
  <c r="I45" i="75"/>
  <c r="H45" i="75"/>
  <c r="G45" i="75"/>
  <c r="F45" i="75" s="1"/>
  <c r="D45" i="75"/>
  <c r="H44" i="75"/>
  <c r="P46" i="75" l="1"/>
  <c r="P45" i="75" s="1"/>
  <c r="N46" i="75"/>
  <c r="K46" i="75"/>
  <c r="K45" i="75" s="1"/>
  <c r="O46" i="75"/>
  <c r="M46" i="75"/>
  <c r="L46" i="75" s="1"/>
  <c r="G44" i="75"/>
  <c r="F44" i="75" s="1"/>
  <c r="E44" i="75" s="1"/>
  <c r="D44" i="75" s="1"/>
  <c r="J45" i="75"/>
  <c r="M56" i="75"/>
  <c r="N49" i="75"/>
  <c r="O48" i="75"/>
  <c r="N48" i="75" s="1"/>
  <c r="D62" i="108"/>
  <c r="E65" i="108"/>
  <c r="E63" i="108"/>
  <c r="K42" i="75"/>
  <c r="F42" i="75" s="1"/>
  <c r="E42" i="75" s="1"/>
  <c r="D42" i="75" s="1"/>
  <c r="O45" i="75" l="1"/>
  <c r="N45" i="75" s="1"/>
  <c r="M45" i="75" s="1"/>
  <c r="L45" i="75" s="1"/>
  <c r="P44" i="75"/>
  <c r="O44" i="75" s="1"/>
  <c r="N44" i="75" s="1"/>
  <c r="M44" i="75" s="1"/>
  <c r="L44" i="75" s="1"/>
  <c r="K44" i="75" s="1"/>
  <c r="J44" i="75" s="1"/>
  <c r="L56" i="75"/>
  <c r="M49" i="75"/>
  <c r="M48" i="75" s="1"/>
  <c r="D65" i="108"/>
  <c r="R61" i="108"/>
  <c r="R58" i="108" s="1"/>
  <c r="R57" i="108" s="1"/>
  <c r="Q57" i="108" s="1"/>
  <c r="Q50" i="108" s="1"/>
  <c r="Q49" i="108" s="1"/>
  <c r="Q65" i="108" s="1"/>
  <c r="P65" i="108" s="1"/>
  <c r="O65" i="108" s="1"/>
  <c r="N65" i="108" s="1"/>
  <c r="D63" i="108"/>
  <c r="K41" i="75"/>
  <c r="J41" i="75"/>
  <c r="I41" i="75"/>
  <c r="H41" i="75"/>
  <c r="G41" i="75"/>
  <c r="F41" i="75" s="1"/>
  <c r="E41" i="75" s="1"/>
  <c r="D41" i="75" s="1"/>
  <c r="K56" i="75" l="1"/>
  <c r="K49" i="75" s="1"/>
  <c r="L49" i="75"/>
  <c r="L48" i="75" s="1"/>
  <c r="K48" i="75" s="1"/>
  <c r="J48" i="75" s="1"/>
  <c r="I48" i="75" s="1"/>
  <c r="H48" i="75" s="1"/>
  <c r="G48" i="75" s="1"/>
  <c r="I44" i="75"/>
  <c r="J43" i="75"/>
  <c r="P43" i="75"/>
  <c r="O43" i="75" s="1"/>
  <c r="N43" i="75" s="1"/>
  <c r="M43" i="75" s="1"/>
  <c r="L43" i="75" s="1"/>
  <c r="K43" i="75" s="1"/>
  <c r="I40" i="75"/>
  <c r="H40" i="75"/>
  <c r="G40" i="75"/>
  <c r="F40" i="75" s="1"/>
  <c r="E40" i="75" s="1"/>
  <c r="D40" i="75" s="1"/>
  <c r="I39" i="75"/>
  <c r="H39" i="75"/>
  <c r="G39" i="75"/>
  <c r="I38" i="75"/>
  <c r="F38" i="75"/>
  <c r="I37" i="75"/>
  <c r="G37" i="75"/>
  <c r="F37" i="75"/>
  <c r="D37" i="75"/>
  <c r="I36" i="75"/>
  <c r="E36" i="75"/>
  <c r="D36" i="75" s="1"/>
  <c r="H35" i="75"/>
  <c r="E35" i="75"/>
  <c r="D35" i="75" s="1"/>
  <c r="P34" i="75"/>
  <c r="O34" i="75"/>
  <c r="N34" i="75"/>
  <c r="M34" i="75"/>
  <c r="K34" i="75"/>
  <c r="P33" i="75" s="1"/>
  <c r="O33" i="75" s="1"/>
  <c r="N33" i="75" s="1"/>
  <c r="M33" i="75" s="1"/>
  <c r="J33" i="75"/>
  <c r="I33" i="75"/>
  <c r="H33" i="75"/>
  <c r="G33" i="75"/>
  <c r="E33" i="75"/>
  <c r="D33" i="75"/>
  <c r="O32" i="75"/>
  <c r="N32" i="75"/>
  <c r="M32" i="75"/>
  <c r="L32" i="75" s="1"/>
  <c r="K32" i="75"/>
  <c r="G32" i="75"/>
  <c r="F32" i="75"/>
  <c r="E32" i="75"/>
  <c r="D32" i="75" s="1"/>
  <c r="P31" i="75"/>
  <c r="O31" i="75"/>
  <c r="N31" i="75"/>
  <c r="M31" i="75"/>
  <c r="J31" i="75"/>
  <c r="K31" i="75" s="1"/>
  <c r="I31" i="75"/>
  <c r="H31" i="75"/>
  <c r="G31" i="75" s="1"/>
  <c r="F31" i="75" s="1"/>
  <c r="E31" i="75" s="1"/>
  <c r="D31" i="75" s="1"/>
  <c r="P30" i="75" s="1"/>
  <c r="O30" i="75" s="1"/>
  <c r="N30" i="75" s="1"/>
  <c r="M30" i="75" s="1"/>
  <c r="J30" i="75"/>
  <c r="K30" i="75" s="1"/>
  <c r="I30" i="75"/>
  <c r="F30" i="75"/>
  <c r="P29" i="75" l="1"/>
  <c r="O29" i="75" s="1"/>
  <c r="N29" i="75" s="1"/>
  <c r="M29" i="75" s="1"/>
  <c r="L30" i="75"/>
  <c r="L31" i="75"/>
  <c r="H30" i="75"/>
  <c r="G30" i="75" s="1"/>
  <c r="K33" i="75"/>
  <c r="L34" i="75"/>
  <c r="L33" i="75" s="1"/>
  <c r="G36" i="75"/>
  <c r="F36" i="75" s="1"/>
  <c r="I43" i="75"/>
  <c r="H43" i="75" s="1"/>
  <c r="G43" i="75" s="1"/>
  <c r="L42" i="75" s="1"/>
  <c r="L41" i="75" s="1"/>
  <c r="K29" i="75"/>
  <c r="L29" i="75" s="1"/>
  <c r="J29" i="75"/>
  <c r="I29" i="75" s="1"/>
  <c r="H28" i="75"/>
  <c r="F28" i="75"/>
  <c r="H27" i="75"/>
  <c r="F27" i="75"/>
  <c r="D27" i="75"/>
  <c r="H26" i="75"/>
  <c r="I26" i="75" s="1"/>
  <c r="F26" i="75"/>
  <c r="E26" i="75"/>
  <c r="D26" i="75"/>
  <c r="H25" i="75"/>
  <c r="F25" i="75"/>
  <c r="E25" i="75"/>
  <c r="D25" i="75"/>
  <c r="P24" i="75"/>
  <c r="H29" i="75" l="1"/>
  <c r="G29" i="75" s="1"/>
  <c r="G35" i="75"/>
  <c r="F35" i="75" s="1"/>
  <c r="O24" i="75"/>
  <c r="N24" i="75"/>
  <c r="M24" i="75"/>
  <c r="L24" i="75" s="1"/>
  <c r="K24" i="75"/>
  <c r="J24" i="75"/>
  <c r="I24" i="75" s="1"/>
  <c r="H24" i="75" s="1"/>
  <c r="G24" i="75" s="1"/>
  <c r="F24" i="75" s="1"/>
  <c r="E24" i="75"/>
  <c r="D24" i="75" s="1"/>
  <c r="J23" i="75" l="1"/>
  <c r="F23" i="75"/>
  <c r="P22" i="75"/>
  <c r="P21" i="75" s="1"/>
  <c r="I22" i="75"/>
  <c r="I21" i="75" s="1"/>
  <c r="H22" i="75"/>
  <c r="G22" i="75"/>
  <c r="G21" i="75" s="1"/>
  <c r="F22" i="75"/>
  <c r="D22" i="75"/>
  <c r="H21" i="75"/>
  <c r="F21" i="75"/>
  <c r="E21" i="75"/>
  <c r="D21" i="75"/>
  <c r="I20" i="75"/>
  <c r="F20" i="75"/>
  <c r="O19" i="75"/>
  <c r="N19" i="75"/>
  <c r="M19" i="75"/>
  <c r="I19" i="75"/>
  <c r="F19" i="75"/>
  <c r="N23" i="75" l="1"/>
  <c r="N22" i="75" s="1"/>
  <c r="N21" i="75" s="1"/>
  <c r="K23" i="75"/>
  <c r="O23" i="75"/>
  <c r="O22" i="75" s="1"/>
  <c r="O21" i="75" s="1"/>
  <c r="M23" i="75"/>
  <c r="J22" i="75"/>
  <c r="J21" i="75" s="1"/>
  <c r="P18" i="75"/>
  <c r="O18" i="75"/>
  <c r="N18" i="75"/>
  <c r="M18" i="75"/>
  <c r="J18" i="75"/>
  <c r="I18" i="75" s="1"/>
  <c r="H18" i="75"/>
  <c r="G18" i="75"/>
  <c r="F18" i="75" s="1"/>
  <c r="E18" i="75"/>
  <c r="D18" i="75"/>
  <c r="P17" i="75"/>
  <c r="O17" i="75"/>
  <c r="O11" i="75" s="1"/>
  <c r="N17" i="75"/>
  <c r="M17" i="75"/>
  <c r="I17" i="75"/>
  <c r="I16" i="75"/>
  <c r="O15" i="75"/>
  <c r="N15" i="75"/>
  <c r="M15" i="75"/>
  <c r="I15" i="75"/>
  <c r="I14" i="75" s="1"/>
  <c r="F15" i="75"/>
  <c r="P14" i="75"/>
  <c r="O14" i="75" s="1"/>
  <c r="N14" i="75" s="1"/>
  <c r="M14" i="75" s="1"/>
  <c r="J14" i="75"/>
  <c r="K14" i="75" s="1"/>
  <c r="H14" i="75"/>
  <c r="G14" i="75"/>
  <c r="I13" i="75"/>
  <c r="F13" i="75"/>
  <c r="O12" i="75"/>
  <c r="N12" i="75"/>
  <c r="M12" i="75"/>
  <c r="L12" i="75"/>
  <c r="K12" i="75"/>
  <c r="F12" i="75"/>
  <c r="P11" i="75" s="1"/>
  <c r="N11" i="75"/>
  <c r="H11" i="75"/>
  <c r="G11" i="75"/>
  <c r="E11" i="75"/>
  <c r="D11" i="75"/>
  <c r="G10" i="75"/>
  <c r="L14" i="75" l="1"/>
  <c r="P10" i="75"/>
  <c r="O10" i="75" s="1"/>
  <c r="N10" i="75" s="1"/>
  <c r="M10" i="75" s="1"/>
  <c r="F11" i="75"/>
  <c r="F10" i="75" s="1"/>
  <c r="F9" i="75" s="1"/>
  <c r="I11" i="75"/>
  <c r="M11" i="75"/>
  <c r="L23" i="75"/>
  <c r="M22" i="75"/>
  <c r="M21" i="75" s="1"/>
  <c r="E10" i="75"/>
  <c r="D10" i="75" s="1"/>
  <c r="O9" i="75"/>
  <c r="N9" i="75" s="1"/>
  <c r="D9" i="75"/>
  <c r="J66" i="59"/>
  <c r="J65" i="59"/>
  <c r="H65" i="59"/>
  <c r="J63" i="59"/>
  <c r="H63" i="59"/>
  <c r="J61" i="59"/>
  <c r="H61" i="59"/>
  <c r="J59" i="59"/>
  <c r="B58" i="59"/>
  <c r="H58" i="59" s="1"/>
  <c r="H57" i="59"/>
  <c r="H56" i="59"/>
  <c r="E9" i="75" l="1"/>
  <c r="F61" i="75"/>
  <c r="M9" i="75"/>
  <c r="P9" i="75"/>
  <c r="P65" i="75" s="1"/>
  <c r="O65" i="75" s="1"/>
  <c r="N65" i="75" s="1"/>
  <c r="H55" i="59"/>
  <c r="H54" i="59"/>
  <c r="H53" i="59"/>
  <c r="B52" i="59"/>
  <c r="J50" i="59"/>
  <c r="H49" i="59"/>
  <c r="B49" i="59"/>
  <c r="B48" i="59"/>
  <c r="J46" i="59"/>
  <c r="H45" i="59"/>
  <c r="H44" i="59"/>
  <c r="H46" i="59" s="1"/>
  <c r="H42" i="59"/>
  <c r="H41" i="59"/>
  <c r="H40" i="59" s="1"/>
  <c r="J38" i="59"/>
  <c r="J62" i="59" s="1"/>
  <c r="H37" i="59"/>
  <c r="H36" i="59"/>
  <c r="H35" i="59"/>
  <c r="M65" i="75" l="1"/>
  <c r="E61" i="75"/>
  <c r="F65" i="75"/>
  <c r="F63" i="75"/>
  <c r="H38" i="59"/>
  <c r="H48" i="59"/>
  <c r="H50" i="59" s="1"/>
  <c r="H52" i="59"/>
  <c r="H59" i="59" s="1"/>
  <c r="G30" i="59"/>
  <c r="H30" i="59" s="1"/>
  <c r="H31" i="59" l="1"/>
  <c r="H29" i="59" s="1"/>
  <c r="D61" i="75"/>
  <c r="E63" i="75"/>
  <c r="E65" i="75"/>
  <c r="H25" i="59"/>
  <c r="D25" i="59"/>
  <c r="H24" i="59"/>
  <c r="H23" i="59"/>
  <c r="E22" i="59"/>
  <c r="H21" i="59"/>
  <c r="H20" i="59"/>
  <c r="H19" i="59"/>
  <c r="H18" i="59"/>
  <c r="H15" i="59"/>
  <c r="B9" i="59"/>
  <c r="H8" i="59"/>
  <c r="H7" i="59"/>
  <c r="H6" i="59"/>
  <c r="H9" i="59" s="1"/>
  <c r="H4" i="59"/>
  <c r="H5" i="59" s="1"/>
  <c r="N36" i="110"/>
  <c r="N35" i="110" s="1"/>
  <c r="M36" i="110"/>
  <c r="M35" i="110" s="1"/>
  <c r="L36" i="110"/>
  <c r="K36" i="110"/>
  <c r="K35" i="110" s="1"/>
  <c r="K34" i="110" s="1"/>
  <c r="K194" i="110" s="1"/>
  <c r="J5" i="59" l="1"/>
  <c r="H22" i="59"/>
  <c r="H26" i="59" s="1"/>
  <c r="H32" i="59" s="1"/>
  <c r="D65" i="75"/>
  <c r="D63" i="75"/>
  <c r="P62" i="75" s="1"/>
  <c r="O62" i="75" s="1"/>
  <c r="N62" i="75" s="1"/>
  <c r="M62" i="75" s="1"/>
  <c r="L35" i="110"/>
  <c r="L34" i="110" s="1"/>
  <c r="M34" i="110"/>
  <c r="P36" i="110"/>
  <c r="P38" i="110" s="1"/>
  <c r="J12" i="114"/>
  <c r="N34" i="110"/>
  <c r="N194" i="110" s="1"/>
  <c r="J31" i="59" l="1"/>
  <c r="L194" i="110"/>
  <c r="L26" i="110"/>
  <c r="K26" i="110" s="1"/>
  <c r="M194" i="110"/>
  <c r="M26" i="110"/>
  <c r="J9" i="114"/>
  <c r="J36" i="114" s="1"/>
  <c r="L12" i="114"/>
  <c r="C19" i="99"/>
  <c r="C18" i="99" s="1"/>
  <c r="C17" i="99" s="1"/>
  <c r="C16" i="99" s="1"/>
  <c r="J10" i="108"/>
  <c r="J9" i="108" s="1"/>
  <c r="J65" i="108" s="1"/>
  <c r="K17" i="108"/>
  <c r="R53" i="108"/>
  <c r="L17" i="108"/>
  <c r="I10" i="108"/>
  <c r="R51" i="108" l="1"/>
  <c r="R50" i="108" s="1"/>
  <c r="R49" i="108" s="1"/>
  <c r="R65" i="108" s="1"/>
  <c r="R52" i="108"/>
  <c r="T52" i="108"/>
  <c r="T53" i="108" s="1"/>
  <c r="J67" i="108"/>
  <c r="J69" i="108"/>
  <c r="C15" i="99"/>
  <c r="C14" i="99" s="1"/>
  <c r="C13" i="99" s="1"/>
  <c r="C12" i="99" s="1"/>
  <c r="T67" i="110"/>
  <c r="J72" i="108"/>
  <c r="J73" i="108" s="1"/>
  <c r="C20" i="99" l="1"/>
  <c r="C21" i="99" s="1"/>
  <c r="C11" i="99"/>
  <c r="I34" i="108"/>
  <c r="I9" i="108"/>
  <c r="J15" i="108"/>
  <c r="K15" i="108"/>
  <c r="L15" i="108" s="1"/>
  <c r="L11" i="108" s="1"/>
  <c r="L10" i="108" s="1"/>
  <c r="J34" i="108"/>
  <c r="K34" i="108" s="1"/>
  <c r="L34" i="108" s="1"/>
  <c r="H9" i="108"/>
  <c r="H65" i="108" s="1"/>
  <c r="G9" i="108"/>
  <c r="I65" i="108"/>
  <c r="I67" i="108" s="1"/>
  <c r="G65" i="108"/>
  <c r="G69" i="108" s="1"/>
  <c r="G67" i="108"/>
  <c r="K13" i="108"/>
  <c r="L13" i="108" s="1"/>
  <c r="I24" i="108"/>
  <c r="J24" i="108" s="1"/>
  <c r="K24" i="108" s="1"/>
  <c r="L24" i="108" s="1"/>
  <c r="M24" i="108" s="1"/>
  <c r="N24" i="108" s="1"/>
  <c r="O24" i="108" s="1"/>
  <c r="P24" i="108" s="1"/>
  <c r="Q24" i="108" s="1"/>
  <c r="R24" i="108" s="1"/>
  <c r="J25" i="108"/>
  <c r="K25" i="108"/>
  <c r="L25" i="108" s="1"/>
  <c r="M25" i="108" s="1"/>
  <c r="N25" i="108" s="1"/>
  <c r="O25" i="108" s="1"/>
  <c r="P25" i="108" s="1"/>
  <c r="Q25" i="108" s="1"/>
  <c r="R25" i="108" s="1"/>
  <c r="I26" i="108"/>
  <c r="J26" i="108" s="1"/>
  <c r="K26" i="108" s="1"/>
  <c r="L26" i="108" s="1"/>
  <c r="M26" i="108" s="1"/>
  <c r="N26" i="108" s="1"/>
  <c r="O26" i="108" s="1"/>
  <c r="P26" i="108" s="1"/>
  <c r="Q26" i="108" s="1"/>
  <c r="R26" i="108" s="1"/>
  <c r="I27" i="108"/>
  <c r="J27" i="108" s="1"/>
  <c r="K27" i="108" s="1"/>
  <c r="L27" i="108" s="1"/>
  <c r="M27" i="108" s="1"/>
  <c r="N27" i="108" s="1"/>
  <c r="O27" i="108" s="1"/>
  <c r="P27" i="108" s="1"/>
  <c r="Q27" i="108" s="1"/>
  <c r="R27" i="108" s="1"/>
  <c r="J36" i="108"/>
  <c r="K36" i="108" s="1"/>
  <c r="L36" i="108" s="1"/>
  <c r="K35" i="108"/>
  <c r="L35" i="108" s="1"/>
  <c r="K37" i="108"/>
  <c r="L37" i="108" s="1"/>
  <c r="H67" i="108" l="1"/>
  <c r="H69" i="108"/>
  <c r="I69" i="108"/>
  <c r="L9" i="108"/>
  <c r="L65" i="108" s="1"/>
  <c r="K11" i="108"/>
  <c r="K10" i="108" s="1"/>
  <c r="K9" i="108" s="1"/>
  <c r="K65" i="108" s="1"/>
  <c r="K69" i="108" l="1"/>
  <c r="K67" i="108"/>
  <c r="L67" i="108"/>
  <c r="L69" i="108"/>
  <c r="H16" i="59"/>
  <c r="H27" i="59"/>
  <c r="H33" i="59"/>
  <c r="J33" i="59"/>
  <c r="J27" i="59"/>
  <c r="H10" i="59"/>
  <c r="J10" i="59"/>
  <c r="K15" i="75"/>
  <c r="L15" i="75"/>
  <c r="J13" i="75"/>
  <c r="K13" i="75"/>
  <c r="L13" i="75"/>
  <c r="J16" i="75"/>
  <c r="K16" i="75"/>
  <c r="L16" i="75"/>
  <c r="K17" i="75"/>
  <c r="L17" i="75"/>
  <c r="K18" i="75"/>
  <c r="L18" i="75"/>
  <c r="L11" i="75"/>
  <c r="L10" i="75"/>
  <c r="K22" i="75"/>
  <c r="L22" i="75"/>
  <c r="L21" i="75"/>
  <c r="I35" i="75"/>
  <c r="J35" i="75"/>
  <c r="K35" i="75"/>
  <c r="L35" i="75"/>
  <c r="L9" i="75"/>
  <c r="L65" i="75"/>
  <c r="K11" i="75"/>
  <c r="K10" i="75"/>
  <c r="K21" i="75"/>
  <c r="K9" i="75"/>
  <c r="J11" i="75"/>
  <c r="J10" i="75"/>
  <c r="J40" i="75"/>
  <c r="J39" i="75"/>
  <c r="J9" i="75"/>
  <c r="I10" i="75"/>
  <c r="H10" i="75"/>
  <c r="J16" i="59"/>
  <c r="J68" i="59"/>
  <c r="J70" i="59"/>
  <c r="J72" i="59"/>
  <c r="H9" i="75"/>
  <c r="K19" i="75"/>
  <c r="L19" i="75"/>
  <c r="K20" i="75"/>
  <c r="L20" i="75"/>
  <c r="I28" i="75"/>
  <c r="J28" i="75"/>
  <c r="K28" i="75"/>
  <c r="L28" i="75"/>
  <c r="M28" i="75"/>
  <c r="N28" i="75"/>
  <c r="O28" i="75"/>
  <c r="P28" i="75"/>
  <c r="I25" i="75"/>
  <c r="J25" i="75"/>
  <c r="K25" i="75"/>
  <c r="L25" i="75"/>
  <c r="M25" i="75"/>
  <c r="N25" i="75"/>
  <c r="O25" i="75"/>
  <c r="P25" i="75"/>
  <c r="I27" i="75"/>
  <c r="J27" i="75"/>
  <c r="K27" i="75"/>
  <c r="L27" i="75"/>
  <c r="M27" i="75"/>
  <c r="N27" i="75"/>
  <c r="O27" i="75"/>
  <c r="P27" i="75"/>
  <c r="J26" i="75"/>
  <c r="K26" i="75"/>
  <c r="L26" i="75"/>
  <c r="M26" i="75"/>
  <c r="N26" i="75"/>
  <c r="O26" i="75"/>
  <c r="P26" i="75"/>
  <c r="L40" i="75"/>
  <c r="L39" i="75"/>
  <c r="K40" i="75"/>
  <c r="K39" i="75"/>
  <c r="J37" i="75"/>
  <c r="K37" i="75"/>
  <c r="L37" i="75"/>
  <c r="J38" i="75"/>
  <c r="K38" i="75"/>
  <c r="L38" i="75"/>
  <c r="J36" i="75"/>
  <c r="K36" i="75"/>
  <c r="L36" i="75"/>
  <c r="R40" i="75"/>
  <c r="J65" i="75"/>
  <c r="I9" i="75"/>
  <c r="H65" i="75"/>
  <c r="G9" i="75"/>
  <c r="J72" i="75"/>
  <c r="J73" i="75"/>
  <c r="K65" i="75"/>
  <c r="K67" i="75"/>
  <c r="J67" i="75"/>
  <c r="K69" i="75"/>
  <c r="G65" i="75"/>
  <c r="G69" i="75"/>
  <c r="G67" i="75"/>
  <c r="I65" i="75"/>
  <c r="I69" i="75"/>
  <c r="I67" i="75"/>
  <c r="H67" i="75"/>
  <c r="H69" i="75"/>
  <c r="J69" i="75"/>
  <c r="L67" i="75"/>
  <c r="L69" i="75"/>
</calcChain>
</file>

<file path=xl/sharedStrings.xml><?xml version="1.0" encoding="utf-8"?>
<sst xmlns="http://schemas.openxmlformats.org/spreadsheetml/2006/main" count="2217" uniqueCount="663">
  <si>
    <t>№ п/п</t>
  </si>
  <si>
    <t>Источники доходов</t>
  </si>
  <si>
    <t>I</t>
  </si>
  <si>
    <t>1.2.</t>
  </si>
  <si>
    <t>2.</t>
  </si>
  <si>
    <t>НАЛОГИ НА СОВОКУПНЫЙ ДОХОД</t>
  </si>
  <si>
    <t>НАЛОГИ НА ИМУЩЕСТВО</t>
  </si>
  <si>
    <t>1.</t>
  </si>
  <si>
    <t>1.1.</t>
  </si>
  <si>
    <t>ИТОГО ДОХОДОВ</t>
  </si>
  <si>
    <t>6.1.</t>
  </si>
  <si>
    <t>Код статьи</t>
  </si>
  <si>
    <t>ВСЕГО РАСХОДОВ</t>
  </si>
  <si>
    <t>ДЕФИЦИТ(-) Профицит(+)</t>
  </si>
  <si>
    <t>0100</t>
  </si>
  <si>
    <t>Код целевой статьи</t>
  </si>
  <si>
    <t>000 1 00 00000 00 0000 000</t>
  </si>
  <si>
    <t>000 1 11 00000 00 0000 000</t>
  </si>
  <si>
    <t>ШТРАФЫ, САНКЦИИ, ВОЗМЕЩЕНИЕ УЩЕРБА</t>
  </si>
  <si>
    <t>000 1 16 00000 00 0000 000</t>
  </si>
  <si>
    <t>000 2 00 00000 00 0000 000</t>
  </si>
  <si>
    <t>0309</t>
  </si>
  <si>
    <t>0700</t>
  </si>
  <si>
    <t>0707</t>
  </si>
  <si>
    <t>0800</t>
  </si>
  <si>
    <t xml:space="preserve"> Наименование статей</t>
  </si>
  <si>
    <t>Код раздела и подраздела</t>
  </si>
  <si>
    <t>Код вида расходов</t>
  </si>
  <si>
    <t>Код экономической статьи</t>
  </si>
  <si>
    <t>0103</t>
  </si>
  <si>
    <t>Другие общегосударственные вопросы</t>
  </si>
  <si>
    <t>0300</t>
  </si>
  <si>
    <t>Жилищно-коммунальное хозяйство</t>
  </si>
  <si>
    <t>0500</t>
  </si>
  <si>
    <t>Образование</t>
  </si>
  <si>
    <t>Социальная политика</t>
  </si>
  <si>
    <t>ИТОГО:</t>
  </si>
  <si>
    <t>Национальная безопасность и правоохранительная деятельность</t>
  </si>
  <si>
    <t>Культура</t>
  </si>
  <si>
    <t>0801</t>
  </si>
  <si>
    <t>1004</t>
  </si>
  <si>
    <t>7</t>
  </si>
  <si>
    <t>5</t>
  </si>
  <si>
    <t>0102</t>
  </si>
  <si>
    <t>1.1.1.1</t>
  </si>
  <si>
    <t>1.1.1</t>
  </si>
  <si>
    <t>0104</t>
  </si>
  <si>
    <t>II</t>
  </si>
  <si>
    <t>6</t>
  </si>
  <si>
    <t>000 1 16 90000 00 0000 140</t>
  </si>
  <si>
    <t>2</t>
  </si>
  <si>
    <t>6.1.1</t>
  </si>
  <si>
    <t>182 1 06 01010 03 0000 110</t>
  </si>
  <si>
    <t xml:space="preserve">000 1 16 90030 03 0000 140 </t>
  </si>
  <si>
    <t>Прочие поступления от денежных взысканий (штрафов) и иных сумм в возмещение ущерба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</si>
  <si>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</si>
  <si>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Москвы и Санкт-Петербурга</t>
  </si>
  <si>
    <t>000 1 13 00000 00 0000 000</t>
  </si>
  <si>
    <t>000 2 02 01000 00 0000 151</t>
  </si>
  <si>
    <t>Арендная плата и поступления от продажи права на заключение договоров аренды земельных участков, за исключением земельных участков , предоставленных на инвестиционных условиях</t>
  </si>
  <si>
    <t>993 2 02 01001 03 0000 151</t>
  </si>
  <si>
    <t>000 2 02 01001 00 0000 151</t>
  </si>
  <si>
    <t>1.1</t>
  </si>
  <si>
    <t>1.1.2</t>
  </si>
  <si>
    <t>2.1</t>
  </si>
  <si>
    <t>2.1.1</t>
  </si>
  <si>
    <t>3.1</t>
  </si>
  <si>
    <t>3.1.1</t>
  </si>
  <si>
    <t>4.1</t>
  </si>
  <si>
    <t>4.1.1</t>
  </si>
  <si>
    <t>4.1.1.1</t>
  </si>
  <si>
    <t>5.1</t>
  </si>
  <si>
    <t>7.1.1</t>
  </si>
  <si>
    <t>9.1</t>
  </si>
  <si>
    <t>ОБЩЕГОСУДАРСТВЕННЫЕ ВОПРОСЫ</t>
  </si>
  <si>
    <t>1.3.1.1</t>
  </si>
  <si>
    <t>3</t>
  </si>
  <si>
    <t>220</t>
  </si>
  <si>
    <t>4</t>
  </si>
  <si>
    <t>5.1.1</t>
  </si>
  <si>
    <t>0503</t>
  </si>
  <si>
    <t>Ликвидация несанкционированных свалок бытовых отходов и мусора</t>
  </si>
  <si>
    <t>Выполнение оформления к праздничным мероприятиям</t>
  </si>
  <si>
    <t>8</t>
  </si>
  <si>
    <t>000 2 02 03027 00 0000 151</t>
  </si>
  <si>
    <t>000 2 02 03000 00 0000 151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</si>
  <si>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</si>
  <si>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</si>
  <si>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993 2 02 03024 03 0000 151</t>
  </si>
  <si>
    <t>993 2 02 03027 03 0100 151</t>
  </si>
  <si>
    <t>9.1.1</t>
  </si>
  <si>
    <t>Сумма</t>
  </si>
  <si>
    <t>№        п/п</t>
  </si>
  <si>
    <t>итого</t>
  </si>
  <si>
    <t>материалы</t>
  </si>
  <si>
    <t>осн средства</t>
  </si>
  <si>
    <t>налог на имущ</t>
  </si>
  <si>
    <t>талоны на отходы</t>
  </si>
  <si>
    <t>рем. орг. техники</t>
  </si>
  <si>
    <t>сигн</t>
  </si>
  <si>
    <t>консультант+ 1С</t>
  </si>
  <si>
    <t>Начисление по дог.</t>
  </si>
  <si>
    <t>дог. подр.</t>
  </si>
  <si>
    <t>котел</t>
  </si>
  <si>
    <t>Ремонт помещ.</t>
  </si>
  <si>
    <t>Эл. эн.</t>
  </si>
  <si>
    <t>Водокан</t>
  </si>
  <si>
    <t>Проезд.карточки</t>
  </si>
  <si>
    <t>Почта</t>
  </si>
  <si>
    <t>ПТС</t>
  </si>
  <si>
    <t>аппарат МА</t>
  </si>
  <si>
    <t>Орган опеки</t>
  </si>
  <si>
    <t>Техслужба</t>
  </si>
  <si>
    <t>Спец 1 кат.</t>
  </si>
  <si>
    <t>Ведущий спец.</t>
  </si>
  <si>
    <t>Гл. спец</t>
  </si>
  <si>
    <t>Нач. отд.</t>
  </si>
  <si>
    <t>Гл. бух МА</t>
  </si>
  <si>
    <t>Зам. Главы МА</t>
  </si>
  <si>
    <t>Глава МА</t>
  </si>
  <si>
    <t>период</t>
  </si>
  <si>
    <t>высл.</t>
  </si>
  <si>
    <t>квал.</t>
  </si>
  <si>
    <t>Ставка</t>
  </si>
  <si>
    <t>Кол-во р.е.</t>
  </si>
  <si>
    <t>Кол-во</t>
  </si>
  <si>
    <t>Штатн.ед.наим</t>
  </si>
  <si>
    <t>Гл. бух МО</t>
  </si>
  <si>
    <t>Глава МО</t>
  </si>
  <si>
    <t>993 2 02 03024 03 0200 151</t>
  </si>
  <si>
    <t>итого 211</t>
  </si>
  <si>
    <t>итого 213</t>
  </si>
  <si>
    <t>993 2 02 03024 03 0100 151</t>
  </si>
  <si>
    <t>Гл. спец МО</t>
  </si>
  <si>
    <t>итого аппарат МС</t>
  </si>
  <si>
    <t>Командировочные</t>
  </si>
  <si>
    <t>Заработная плата и начисления  01.01.10</t>
  </si>
  <si>
    <t xml:space="preserve">обсл. моб. </t>
  </si>
  <si>
    <t>993</t>
  </si>
  <si>
    <t>Код по ГРБС</t>
  </si>
  <si>
    <t>3.1.1.1</t>
  </si>
  <si>
    <t>6.1</t>
  </si>
  <si>
    <t>Налог, взимаемый в связи с применением упрощенной системы налообложения.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</si>
  <si>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</si>
  <si>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</si>
  <si>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</si>
  <si>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</si>
  <si>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 Москвы и Санкт-Петербурга, а также средства  от продажи права на заключение договоров аренды указанных земельных участков</t>
  </si>
  <si>
    <t>000 1 05 00000 00 0000 000</t>
  </si>
  <si>
    <t>000 1 06 00000 00 0000 000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</si>
  <si>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</si>
  <si>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5.1.1.1</t>
  </si>
  <si>
    <t>000 2 02 00000 00 0000 151</t>
  </si>
  <si>
    <t>Дотации бюджетам субъектов Российской Федерации и муниципальных образований</t>
  </si>
  <si>
    <t>Дотации на выравнивание  бюджетной обеспеченности</t>
  </si>
  <si>
    <t>6.1.1.1</t>
  </si>
  <si>
    <t>7.1</t>
  </si>
  <si>
    <t>923</t>
  </si>
  <si>
    <t>Глава муниципального образования</t>
  </si>
  <si>
    <t>000 1 11 05000 00 0000 120</t>
  </si>
  <si>
    <t>000 1 11 05010 00 0000 120</t>
  </si>
  <si>
    <t>1.2</t>
  </si>
  <si>
    <t xml:space="preserve">000 1 16 90030 03 0100 140 </t>
  </si>
  <si>
    <t>БЕЗВОЗМЕЗДНЫЕ ПОСТУПЛЕНИЯ</t>
  </si>
  <si>
    <t>1</t>
  </si>
  <si>
    <t>Глава местной администрации (исполнительно-распорядительного органа муниципального образования)</t>
  </si>
  <si>
    <t>Резервный фонд местной администрации</t>
  </si>
  <si>
    <t>Формирование архивных фондов органов местного самоуправления,муниципальных предприятий и учреждений</t>
  </si>
  <si>
    <t>2.1.1.1</t>
  </si>
  <si>
    <t>5.1.</t>
  </si>
  <si>
    <t>Физическая культура и спорт</t>
  </si>
  <si>
    <t>Охрана семьи и детства</t>
  </si>
  <si>
    <t xml:space="preserve">860 1 16 90030 03 0200 140 </t>
  </si>
  <si>
    <t>Главный распорядитель бюджетных средств - Муниципальный Совет муниципального образования п.Лисий Нос (ГРБС)</t>
  </si>
  <si>
    <t>Главный распорядитель бюджетных средств - Местная администрация муниципального образования п.Лисий Нос (ГРБС)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</si>
  <si>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</si>
  <si>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</si>
  <si>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1.2.1</t>
  </si>
  <si>
    <t>1.1.2.1</t>
  </si>
  <si>
    <t>1.2.1.1</t>
  </si>
  <si>
    <t>Защита населения и территорий от  чрезвычайных ситуаций природного и техногенного характера, гражданская оборона</t>
  </si>
  <si>
    <t>Приложение №2</t>
  </si>
  <si>
    <t>0111</t>
  </si>
  <si>
    <t>0113</t>
  </si>
  <si>
    <t>1101</t>
  </si>
  <si>
    <t>1100</t>
  </si>
  <si>
    <t xml:space="preserve">Физическая культура </t>
  </si>
  <si>
    <t>Средства массовой информации</t>
  </si>
  <si>
    <t>1200</t>
  </si>
  <si>
    <t>1202</t>
  </si>
  <si>
    <t>Периодическая печать и издательства</t>
  </si>
  <si>
    <t>8.1.1</t>
  </si>
  <si>
    <t>8.1.1.1</t>
  </si>
  <si>
    <t>12,7</t>
  </si>
  <si>
    <t>182 1 05 01011 01 0000 110</t>
  </si>
  <si>
    <t>182 1 05 01012 01 0000 110</t>
  </si>
  <si>
    <t>Налог, взимаемый с налогоплатильщиков, выбравших в качестве объекта налогообложения доходы (за налоговые периоды, истекшие до 1 января 2011 года)</t>
  </si>
  <si>
    <t>182 1 05 01021 01 0000 110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</si>
  <si>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</si>
  <si>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расходов(за налоговые периоды, истекшие до 1 января 2011 года)</t>
  </si>
  <si>
    <t>182 1 05 02010 02 0000 110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</si>
  <si>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учреждений,а также имущества государственных и муниципальных унитарных предприятий, в том числе казенных) </t>
  </si>
  <si>
    <t>Штрафы за административные правонарушения в обасти благоустройства, предусмотренные  главой 4 Закона Санкт-Петербурга "Об административных правонарушениях  в Санкт-Петербурге"</t>
  </si>
  <si>
    <t>Штрафы за административные правонарушения в области предпринимательской деятельности, предусмотренные статьей 44  Закона Санкт-Петербурга "Об административных правонарушениях в Санкт-Петербурге"</t>
  </si>
  <si>
    <t>993 2 02 03027 03 0000 151</t>
  </si>
  <si>
    <t>7.2.1</t>
  </si>
  <si>
    <t>Субвенции бюджетам внутригородских муниципальных образований городов федерального значения Москвы и Санкт-Петербурга на содержание ребенка в семье опекуна и приемной семье, а также вознаграждение, причитающееся приемному родителю</t>
  </si>
  <si>
    <t>7.2.1.1</t>
  </si>
  <si>
    <t>Культура, кинематография</t>
  </si>
  <si>
    <t>Дотации бюджетам внутригородских муниципальных образований городов федерального значения Москвы и Санкт-Петербурга на выравнивание  уровня бюджетной обеспеченности</t>
  </si>
  <si>
    <t>Функционирование законодательных (представительных)   органов   государственной власти и представительных органов муниципальных образований</t>
  </si>
  <si>
    <t xml:space="preserve">План на 2011год(тыс. руб.) </t>
  </si>
  <si>
    <t>Прогноз исполнения за 2011 год</t>
  </si>
  <si>
    <t>Собственные доходы</t>
  </si>
  <si>
    <t>Проект</t>
  </si>
  <si>
    <t>План на 2011 год</t>
  </si>
  <si>
    <t>Исполнение  на 1.09.11</t>
  </si>
  <si>
    <t>000 2 02 02000 00 0000 151</t>
  </si>
  <si>
    <t>000 2 02 02999 00 0000 151</t>
  </si>
  <si>
    <t>Прочие субсидии</t>
  </si>
  <si>
    <t>1003</t>
  </si>
  <si>
    <t>Социальное обеспечение населения</t>
  </si>
  <si>
    <t xml:space="preserve">Расходы на предоставление доплат к пенсии лицам , замещавшим муниципальные должности и должности муниципальной службы </t>
  </si>
  <si>
    <t>0409</t>
  </si>
  <si>
    <t>Дорожное хозяйство</t>
  </si>
  <si>
    <t>8.1.</t>
  </si>
  <si>
    <t>9</t>
  </si>
  <si>
    <t>9.1.1.1</t>
  </si>
  <si>
    <t>993 2 02 02999 03 0000 151</t>
  </si>
  <si>
    <t>Прочие субсидии бюджетам внутригородских муниципальных образований городов федерального значения Москвы и Санкт-Петербурга</t>
  </si>
  <si>
    <t>7.2.</t>
  </si>
  <si>
    <t>1.3</t>
  </si>
  <si>
    <t>Компенсации депутатам, осуществляющим свои полномочия на непостоянной основе</t>
  </si>
  <si>
    <t>830 1 11 05011 02 0100 120</t>
  </si>
  <si>
    <t>ДОХОДЫ ОТ ОКАЗАНИЯ ПЛАТНЫХ УСЛУГ(РАБОТ) И КОМПЕНСАЦИИ ЗАТРАТ ГОСУДАРСТВА</t>
  </si>
  <si>
    <t>000 1 13 02990 00 0000 130</t>
  </si>
  <si>
    <t>Прочие доходы от  компенсации затрат государства</t>
  </si>
  <si>
    <t>000 1 13 02993 03 0000 130</t>
  </si>
  <si>
    <t>Прочие доходы от  компенсации затрат бюджетов внутригородских муниципальных образований городов федерального значения Москвы и Санкт-Петербурга</t>
  </si>
  <si>
    <t>867 1 13 02993 03 0100 130</t>
  </si>
  <si>
    <t>182 1 05 01050 01 0000 110</t>
  </si>
  <si>
    <t>Минимальный налог, зачисляемый в бюджеты субъектов Российской Федерации</t>
  </si>
  <si>
    <t>1.1.3</t>
  </si>
  <si>
    <t>000 1 05 01000 00 0000 110</t>
  </si>
  <si>
    <t>000 1 06 01000 00 0000 110</t>
  </si>
  <si>
    <t>000 1 05 02000 02 0000 110</t>
  </si>
  <si>
    <t>Проект на 2015 год</t>
  </si>
  <si>
    <t>993 2 02 03027 03 0200 151</t>
  </si>
  <si>
    <t>План на 2013 год</t>
  </si>
  <si>
    <t>Прогноз исполнения за 2013 год</t>
  </si>
  <si>
    <t>Проект на 2016 год</t>
  </si>
  <si>
    <t>Аппарат представительного органа муниципального образования</t>
  </si>
  <si>
    <t>1.2.5</t>
  </si>
  <si>
    <t>Прочая закупка товаров, работ и услуг для муниципальных нужд</t>
  </si>
  <si>
    <t>244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</si>
  <si>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Федерации,местных администраций</t>
  </si>
  <si>
    <t>240</t>
  </si>
  <si>
    <t>Резервные средства</t>
  </si>
  <si>
    <t>870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</si>
  <si>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</si>
  <si>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Текущий ремонт и содержание дорог, расположенных в пределах границ муниципального образования</t>
  </si>
  <si>
    <t>Текущий ремонт придомовых территорий и дворовых территорий, включая проезды и выезды, пешеходные дорожки муниципального образования</t>
  </si>
  <si>
    <t>4.1.2</t>
  </si>
  <si>
    <t>4.1.2.1</t>
  </si>
  <si>
    <t>4.1.3</t>
  </si>
  <si>
    <t>4.1.3.1</t>
  </si>
  <si>
    <t>Благоустройство территории муниципального образования, связанное с обеспечением  санитарного благополучия населения</t>
  </si>
  <si>
    <t>Участие в обеспечении чистоты и порядка</t>
  </si>
  <si>
    <t>Уборка водных акваторий , тупиков и проездов</t>
  </si>
  <si>
    <t>Озеленение территории муниципального образования</t>
  </si>
  <si>
    <t>Озеленение территорий , зеленых насаждений внутриквартального озеленения</t>
  </si>
  <si>
    <t>Прочие мероприятия в области благоустройства</t>
  </si>
  <si>
    <t>6.2</t>
  </si>
  <si>
    <t>0804</t>
  </si>
  <si>
    <t>6.2.1.1</t>
  </si>
  <si>
    <t>7.1.1.1</t>
  </si>
  <si>
    <t>Периодические издания, учрежденные представительными органами местного самоуправления</t>
  </si>
  <si>
    <t>9.1.2</t>
  </si>
  <si>
    <t>Опубликование муниципальных правовых актов, иной информации</t>
  </si>
  <si>
    <t>План на 2013г. (тыс.руб)</t>
  </si>
  <si>
    <t>000 1 05 01020 01 0000 110</t>
  </si>
  <si>
    <t>000 1 11 05011 02 0000 120</t>
  </si>
  <si>
    <t>3.1.1.1.0</t>
  </si>
  <si>
    <t>3.2</t>
  </si>
  <si>
    <t>000 1 11 070 00 0000 120</t>
  </si>
  <si>
    <t>3.2.1</t>
  </si>
  <si>
    <t>993 1 11 07013 03 0000 120</t>
  </si>
  <si>
    <t>4.</t>
  </si>
  <si>
    <t>Субвенции бюджетам внутригородских муниципальных образований городов федерального значения Москвы и Санкт-Петербурга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</si>
  <si>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</si>
  <si>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7.1.1.2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</si>
  <si>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</si>
  <si>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 муниципальных образований 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</si>
  <si>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</si>
  <si>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</si>
  <si>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000 1 11 02000 00 0000 120</t>
  </si>
  <si>
    <t>Доходы от размещения средств бюджетов</t>
  </si>
  <si>
    <t>966 1 11 02031 03 0000 120</t>
  </si>
  <si>
    <t>Доходы от размещения  временно свободных средств местных бюджетов, расположенным в границах внутригородских муниципальных образований городов федерального значения Москвы и Санкт-Петербурга</t>
  </si>
  <si>
    <t>000 1 11 03000 00 0000 120</t>
  </si>
  <si>
    <t>Проценты, полученные от предоставления бюджетных кредитов внутри страны</t>
  </si>
  <si>
    <t>966 1 11 03030 03 0000 120</t>
  </si>
  <si>
    <t>Проценты, полученные от предоставления бюджетных кредитов внутри страны за счет бюджетов внутригородских муниципальных образований городов федерального значения Москвы и Санкт-Петербурга</t>
  </si>
  <si>
    <t>0107</t>
  </si>
  <si>
    <t>020 01 01</t>
  </si>
  <si>
    <t>Исполнение  на 1.09.13</t>
  </si>
  <si>
    <t xml:space="preserve">    Сумма    (тыс. руб.)</t>
  </si>
  <si>
    <t>Сумма   (тыс.руб.)</t>
  </si>
  <si>
    <t xml:space="preserve"> ВЕДОМСТВЕННАЯ СТРУКТУРА</t>
  </si>
  <si>
    <t>Приложение №3</t>
  </si>
  <si>
    <t>Единый налог на вмененный доход для отдельных видов деятельности (папентная система налогообложения)</t>
  </si>
  <si>
    <t>991</t>
  </si>
  <si>
    <t>Обеспечение проведения выборов и референдумов</t>
  </si>
  <si>
    <t>Резервные фонды</t>
  </si>
  <si>
    <t xml:space="preserve">Иные закупки товаров, работ и услуг для обеспечения государственных (муниципальных) нужд
</t>
  </si>
  <si>
    <t>1.1.2.2</t>
  </si>
  <si>
    <t>1.1.2.2.1</t>
  </si>
  <si>
    <t>9.1.2.1</t>
  </si>
  <si>
    <t xml:space="preserve">Другие вопросы в области культуры, кинематографии
</t>
  </si>
  <si>
    <t>6.2.1</t>
  </si>
  <si>
    <t xml:space="preserve">Функционирование высшего должностного лица субъекта Российской Федерации и муниципального образования
</t>
  </si>
  <si>
    <t>Национальная экономика</t>
  </si>
  <si>
    <t>0400</t>
  </si>
  <si>
    <t>НАЛОГОВЫЕ И НЕНАЛОГОВЫЕ ДОХОДЫ</t>
  </si>
  <si>
    <t>Платежи от государственных и муниципальных предприятий</t>
  </si>
  <si>
    <t>БЕЗВОЗМЕЗДНЫЕ ПОСТУПЛЕНИЯ ОТДРУГИХ БЮДЖЕТОВ БЮДЖЕТНОЙ СИСТЕМЫ РОССИЙСКОЙ ФЕДЕРАЦИИ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</si>
  <si>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</si>
  <si>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СУБЪЕКТОВ РОССИЙСКОЙ ФЕДЕРАЦИИ И МУНИЦИПАЛЬНЫХ ОБРАЗОВАНИЙ </t>
  </si>
  <si>
    <t>7.2</t>
  </si>
  <si>
    <t>7.2.1.2</t>
  </si>
  <si>
    <t>Благоустройство</t>
  </si>
  <si>
    <t>4.1.2.1.1</t>
  </si>
  <si>
    <t>4.1.2.2</t>
  </si>
  <si>
    <t>4.1.2.2.1</t>
  </si>
  <si>
    <t>4.1.3.1.1</t>
  </si>
  <si>
    <t>4.1.3.2</t>
  </si>
  <si>
    <t>4.1.3.2.1</t>
  </si>
  <si>
    <t>0705</t>
  </si>
  <si>
    <t xml:space="preserve">Профессиональная подготовка, переподготовка и повышение квалификации
</t>
  </si>
  <si>
    <t>5.2.</t>
  </si>
  <si>
    <t>5.2.1</t>
  </si>
  <si>
    <t>5.2.1.1</t>
  </si>
  <si>
    <t>100</t>
  </si>
  <si>
    <t>120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</si>
  <si>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</si>
  <si>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государственных (муниципальных) органов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</si>
  <si>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</si>
  <si>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</si>
  <si>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200</t>
  </si>
  <si>
    <t xml:space="preserve">Закупка товаров, работ и услуг для государственных (муниципальных) нужд
</t>
  </si>
  <si>
    <t>1.1.1.1.1</t>
  </si>
  <si>
    <t>1.1.2.1.1</t>
  </si>
  <si>
    <t>1.1.3.1</t>
  </si>
  <si>
    <t>800</t>
  </si>
  <si>
    <t xml:space="preserve">Иные бюджетные ассигнования
</t>
  </si>
  <si>
    <t>850</t>
  </si>
  <si>
    <t xml:space="preserve">Уплата налогов, сборов и иных платежей
</t>
  </si>
  <si>
    <t>300</t>
  </si>
  <si>
    <t>310</t>
  </si>
  <si>
    <t xml:space="preserve">Социальное обеспечение и иные выплаты населению
</t>
  </si>
  <si>
    <t xml:space="preserve">Публичные нормативные социальные выплаты гражданам
</t>
  </si>
  <si>
    <t>1.2.1.1.1</t>
  </si>
  <si>
    <t>1.1.3.1.1</t>
  </si>
  <si>
    <t>1.3.1.1.1</t>
  </si>
  <si>
    <t>2.1.1.1.1</t>
  </si>
  <si>
    <t>3.1.1.1.1</t>
  </si>
  <si>
    <t>4.1.2.1.1.1</t>
  </si>
  <si>
    <t>4.1.2.2.1.1</t>
  </si>
  <si>
    <t>4.1.3.1.1.1</t>
  </si>
  <si>
    <t>4.1.3.2.1.1</t>
  </si>
  <si>
    <t>5.1.1.1.1</t>
  </si>
  <si>
    <t>5.2.1.1.1</t>
  </si>
  <si>
    <t>6.2.1.1.1</t>
  </si>
  <si>
    <t>7.2.1.1.1</t>
  </si>
  <si>
    <t>8.1.1.1.1</t>
  </si>
  <si>
    <t>9.1.1.1.1</t>
  </si>
  <si>
    <t>9.1.2.1.1</t>
  </si>
  <si>
    <t>Главный распорядитель бюджетных средств - избирательная комиссия муниципального образования п.Лисий Нос (ГРБС)</t>
  </si>
  <si>
    <t>Проведение выборов в представительные органы муниципального образования</t>
  </si>
  <si>
    <t>002 01 01</t>
  </si>
  <si>
    <t xml:space="preserve">Закупка товаров, работ и услуг для государственных (муниципальных) нужд
</t>
  </si>
  <si>
    <t>1.1.1.1.1.1</t>
  </si>
  <si>
    <t>1 квартал (тыс. руб)</t>
  </si>
  <si>
    <t>2 квартал (тыс. руб)</t>
  </si>
  <si>
    <t>3 квартал (тыс. руб)</t>
  </si>
  <si>
    <t>4 квартал (тыс. руб)</t>
  </si>
  <si>
    <t>на 01.01.2014</t>
  </si>
  <si>
    <t>2.1.2</t>
  </si>
  <si>
    <t>2.1.2.1</t>
  </si>
  <si>
    <t>2.1.2.1.1</t>
  </si>
  <si>
    <t xml:space="preserve">образования пос. Лисий Нос  </t>
  </si>
  <si>
    <t>(тыс.руб.)</t>
  </si>
  <si>
    <t>Код</t>
  </si>
  <si>
    <t>Наименование</t>
  </si>
  <si>
    <t xml:space="preserve"> Сумма </t>
  </si>
  <si>
    <t>1.Источники внутреннего финансирования дефицита бюджета</t>
  </si>
  <si>
    <t xml:space="preserve">000 01 05 00 00 00 0000 000 </t>
  </si>
  <si>
    <t>Изменение остатков средств 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</si>
  <si>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</si>
  <si>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</si>
  <si>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</si>
  <si>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</si>
  <si>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</si>
  <si>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 средств бюджетов</t>
  </si>
  <si>
    <t>993 01 05 02 01 03 0000 510</t>
  </si>
  <si>
    <t>000 01 05 00 00 00 0000 600</t>
  </si>
  <si>
    <t>Уменьшение остатков средств бюджетов</t>
  </si>
  <si>
    <t>000 01 05 02 00 00 0000 600</t>
  </si>
  <si>
    <t>Уменьшение  прочих остатков средств бюджетов</t>
  </si>
  <si>
    <t>000  01 05 02 01 00 0000 610</t>
  </si>
  <si>
    <t>Уменьшение  прочих остатков денежных  средств бюджетов</t>
  </si>
  <si>
    <t>993 01 05 02 01 03 0000 610</t>
  </si>
  <si>
    <t>Итого по источникам внутреннего финансирования дефицита бюджета</t>
  </si>
  <si>
    <t>Всего источников финансирования дефицита бюджета</t>
  </si>
  <si>
    <t>1.1.1.1.2</t>
  </si>
  <si>
    <t>1.1.1.1.2.1</t>
  </si>
  <si>
    <t>ДОХОДЫ</t>
  </si>
  <si>
    <t xml:space="preserve">ДОХОДЫ ОТ ОКАЗАНИЯ ПЛАТНЫХ УСЛУГ (РАБОТ) И КОМПЕНСАЦИИ ЗАТРАТ ГОСУДАРСТВА
</t>
  </si>
  <si>
    <t>000 1 13 02000 00 0000 130</t>
  </si>
  <si>
    <t xml:space="preserve">Доходы от компенсации затрат государства
</t>
  </si>
  <si>
    <t xml:space="preserve">000 1 13 02993 03 0000 130 </t>
  </si>
  <si>
    <t>Прочие доходы от компенсации затрат бюджетов внутригородских муниципальных образований городов федерального значения Москвы и Санкт-Петербурга</t>
  </si>
  <si>
    <t xml:space="preserve">000 1 13 02993 03 0100 130 </t>
  </si>
  <si>
    <t>к Решению Муниципального Совета МО пос. Лисий Нос</t>
  </si>
  <si>
    <t>№      от      2015 г.</t>
  </si>
  <si>
    <t xml:space="preserve"> МЕСТНОГО БЮДЖЕТА МУНИЦИПАЛЬНОГО ОБРАЗОВАНИЯ ПОСЕЛОК ЛИСИЙ НОС НА 2016 ГОД</t>
  </si>
  <si>
    <t>182 1 05 04030 02 0000 110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</si>
  <si>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</si>
  <si>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</si>
  <si>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4.2</t>
  </si>
  <si>
    <t>4.2.1</t>
  </si>
  <si>
    <t>4.2.1.1</t>
  </si>
  <si>
    <t>4.2.1.2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</si>
  <si>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внутригородскими муниципальными образованиями городов федерального значения</t>
  </si>
  <si>
    <t>Финансовое обеспеченности деятельности муниципальных казенных учреждений, а также осуществление закупок товаров, работ, услуг для обеспечения муниципальных нужд.</t>
  </si>
  <si>
    <t>Содержание муниципальной информационной службы</t>
  </si>
  <si>
    <t>Муниципальная программа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 пос. Лисий Нос</t>
  </si>
  <si>
    <t>Обеспечение  условий для развития на территории МО пос. Лисий Нос физической культуры и массового спорта, организация и проведение официальных физкультурных мероприятий, физкультурно-оздоровиткльных мероприятий и спортивных мероприятий МО пос. Лисий Нос</t>
  </si>
  <si>
    <t>0401</t>
  </si>
  <si>
    <t>810</t>
  </si>
  <si>
    <t xml:space="preserve">Иные бюджетные ассигнования
</t>
  </si>
  <si>
    <t xml:space="preserve">Общеэкономические вопросы
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</si>
  <si>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</si>
  <si>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терририторий от черезвычайных ситуаций , а так же содействие в  информировании населения об угрозе возникновения или о возникновении черезвычайной ситуации.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</si>
  <si>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</si>
  <si>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</t>
  </si>
  <si>
    <t>Благоустройство придомовых территорий и дворовых территорий</t>
  </si>
  <si>
    <t>Проведение санитарных рубок , удаление аварийных,больных деревьев и кустарников</t>
  </si>
  <si>
    <t>Создание зон отдыха. Обустройство, содержание и уборка детских площадок</t>
  </si>
  <si>
    <t xml:space="preserve">Обустройство, содержание и уборка спортивных площадок </t>
  </si>
  <si>
    <t>Муниципальная  программа по участию в реализации мер по профилактике  дорожно-транспортного травматизма на территории муниципального образования</t>
  </si>
  <si>
    <t xml:space="preserve">Организация и проведение местных и участие в организации и проведении городских  праздничных и иных зрелищных мероприятий, организация и проведение мероприятий по сохранению и развитию местных традиций и обрядов </t>
  </si>
  <si>
    <t>Организация и проведение досуговых мероприятий для жителей МО пос. Лисий Нос</t>
  </si>
  <si>
    <t>1.1.4</t>
  </si>
  <si>
    <t>1.1.4.1</t>
  </si>
  <si>
    <t>1.1.4.1.1</t>
  </si>
  <si>
    <t>1.1.4.1.1.1</t>
  </si>
  <si>
    <t>1.1.4.1.2</t>
  </si>
  <si>
    <t>1.1.4.1.2.1</t>
  </si>
  <si>
    <t>1.3.1.</t>
  </si>
  <si>
    <t>1.3.2</t>
  </si>
  <si>
    <t>1.3.2.1</t>
  </si>
  <si>
    <t>1.3.2.1.1</t>
  </si>
  <si>
    <t>1.3.3.1</t>
  </si>
  <si>
    <t>1.3.3.1.1</t>
  </si>
  <si>
    <t>1.3.4</t>
  </si>
  <si>
    <t>1.3.4.1</t>
  </si>
  <si>
    <t>1.3.4.1.1</t>
  </si>
  <si>
    <t>1.3.5</t>
  </si>
  <si>
    <t>1.3.5.1</t>
  </si>
  <si>
    <t>1.3.5.1.1</t>
  </si>
  <si>
    <t>1.3.6</t>
  </si>
  <si>
    <t>1.3.6.1</t>
  </si>
  <si>
    <t>1.3.6.1.1</t>
  </si>
  <si>
    <t>4.1.2.3</t>
  </si>
  <si>
    <t>4.1.2.3.1</t>
  </si>
  <si>
    <t>4.1.2.3.1.1</t>
  </si>
  <si>
    <t>4.1.4</t>
  </si>
  <si>
    <t>4.1.4.1</t>
  </si>
  <si>
    <t>4.1.4.1.1</t>
  </si>
  <si>
    <t>4.1.4.1.1.1</t>
  </si>
  <si>
    <t>4.1.4.2</t>
  </si>
  <si>
    <t>4.1.4.2.1</t>
  </si>
  <si>
    <t>4.1.4.2.1.1</t>
  </si>
  <si>
    <t>4.1.4.3</t>
  </si>
  <si>
    <t>4.1.4.3.1</t>
  </si>
  <si>
    <t>4.1.4.3.1.1</t>
  </si>
  <si>
    <t>6.1.1.1.1</t>
  </si>
  <si>
    <t>Код бюджетной классификации Российской Федерации</t>
  </si>
  <si>
    <t xml:space="preserve">главного администратора </t>
  </si>
  <si>
    <t>источников финансирования дефицита бюджета МО пос. Лисий Нос</t>
  </si>
  <si>
    <t>01 05 02 01 03 0000 510</t>
  </si>
  <si>
    <t>01 05 02 01 03 0000 610</t>
  </si>
  <si>
    <t xml:space="preserve">Главный администратор источников финансирования </t>
  </si>
  <si>
    <t xml:space="preserve">дефицита местного бюджета муниципального </t>
  </si>
  <si>
    <t xml:space="preserve">Перечень и коды главных администраторов доходов местного бюджета </t>
  </si>
  <si>
    <t>№</t>
  </si>
  <si>
    <t>КБК</t>
  </si>
  <si>
    <t>Наименование кода дохода бюджета</t>
  </si>
  <si>
    <t>993 1 17 01030 03 0000 180</t>
  </si>
  <si>
    <t>993 1 17 05030 03 0000 180</t>
  </si>
  <si>
    <t>993 1 17 05030 03 0100 180</t>
  </si>
  <si>
    <t>Возврат дебиторской задолженности прошлых лет</t>
  </si>
  <si>
    <t>Субвенция бюджетам внутригородских муниципальных образований  Санкт-Петербурга на вознаграждение, причитающееся приемному родителю</t>
  </si>
  <si>
    <t>993 2 08 03000 03 0000 180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</si>
  <si>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предприятий, созданных внутригородскими муниципальными образованиями городов федерального значения </t>
  </si>
  <si>
    <t xml:space="preserve">Невыясненные поступления, зачисляемые в бюджеты внутригородских муниципальных образований городов  федерального значения </t>
  </si>
  <si>
    <t xml:space="preserve">Прочие неналоговые доходы бюджетов внутригородских муниципальных образований городов  федерального значения </t>
  </si>
  <si>
    <t>Дотации бюджетам внутригородских муниципальных образований городов федерального значения  на выравнивание бюджетной обеспеченности</t>
  </si>
  <si>
    <t xml:space="preserve">Прочие субсидии бюджетам внутригородских муниципальных образований городов федерального значения </t>
  </si>
  <si>
    <t>Перечисления из бюджетов внутригородских муниципальных образований городов федерального значения в бюджеты внутригородских муниципальных образований городов федерального значения)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</si>
  <si>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1.2.1.2</t>
  </si>
  <si>
    <t>Проведение конференций граждан (собраний делегатов), опросов граждан по инициативе органов местного самоуправления, публичных слушаний и собраний граждан</t>
  </si>
  <si>
    <t>1.3.7</t>
  </si>
  <si>
    <t>1.3.7.1</t>
  </si>
  <si>
    <t>1.3.7.1.1</t>
  </si>
  <si>
    <t>3.3</t>
  </si>
  <si>
    <t>3.2.1.1</t>
  </si>
  <si>
    <t>3.2.1.1.1</t>
  </si>
  <si>
    <t>3.3.1</t>
  </si>
  <si>
    <t>3.3.1.1</t>
  </si>
  <si>
    <t>3.3.1.1.1</t>
  </si>
  <si>
    <t>0412</t>
  </si>
  <si>
    <t xml:space="preserve">Другие вопросы в области национальной экономики
</t>
  </si>
  <si>
    <t>Содействие развитию малого бизнеса на территории МО пос. Лисий Нос</t>
  </si>
  <si>
    <t>1.3.3</t>
  </si>
  <si>
    <t>Муниципальная программа по участию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</si>
  <si>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>1.1.2.3</t>
  </si>
  <si>
    <t>1.1.2.3.1</t>
  </si>
  <si>
    <t xml:space="preserve">Уплата налогов, сборов и иных платежей
</t>
  </si>
  <si>
    <t xml:space="preserve">Единый налог на вмененный доход для отдельных видов деятельности </t>
  </si>
  <si>
    <t>5.</t>
  </si>
  <si>
    <t>2.1.1.2</t>
  </si>
  <si>
    <t>2.2</t>
  </si>
  <si>
    <t>2.2.1</t>
  </si>
  <si>
    <t>1.3.8</t>
  </si>
  <si>
    <t>1.3.8.1</t>
  </si>
  <si>
    <t>1.3.8.1.1</t>
  </si>
  <si>
    <t>Организация учета зеленых насаждений внутриквартального озеленения на территории МО пос. Лисий Нос</t>
  </si>
  <si>
    <t xml:space="preserve"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</si>
  <si>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значения, а также средства  от продажи права на заключение договоров аренды указанных земельных участков</t>
  </si>
  <si>
    <t xml:space="preserve">Прочие доходы от компенсации затрат бюджетов внутригородских муниципальных образований городов федерального значения </t>
  </si>
  <si>
    <t>Дотации бюджетам внутригородских муниципальных образований городов федерального значения  на выравнивание  уровня бюджетной обеспеченности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</si>
  <si>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</si>
  <si>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Приложение № 1</t>
  </si>
  <si>
    <t xml:space="preserve">07000 0006 0 </t>
  </si>
  <si>
    <t>00200 0001 0</t>
  </si>
  <si>
    <t>00200 0002 0</t>
  </si>
  <si>
    <t>00200 0003 0</t>
  </si>
  <si>
    <t>09000 0029 0</t>
  </si>
  <si>
    <t>33000 0007 0</t>
  </si>
  <si>
    <t>09200 0007 2</t>
  </si>
  <si>
    <t>79500 0053 0</t>
  </si>
  <si>
    <t>09200 0044 0</t>
  </si>
  <si>
    <t>79500 0052 0</t>
  </si>
  <si>
    <t>79500 0054 0</t>
  </si>
  <si>
    <t>09200 0046 0</t>
  </si>
  <si>
    <t>21900 0008 0</t>
  </si>
  <si>
    <t>21900 0009 0</t>
  </si>
  <si>
    <t>31500 0011 0</t>
  </si>
  <si>
    <t>34500 0012 0</t>
  </si>
  <si>
    <t>51000 0010 0</t>
  </si>
  <si>
    <t>60000 0013 0</t>
  </si>
  <si>
    <t>60000 0013 1</t>
  </si>
  <si>
    <t>60000 0014 0</t>
  </si>
  <si>
    <t>60000 0014 1</t>
  </si>
  <si>
    <t>60000 0014 2</t>
  </si>
  <si>
    <t>60000 0014 3</t>
  </si>
  <si>
    <t>60000 0015 1</t>
  </si>
  <si>
    <t>60000 0015 2</t>
  </si>
  <si>
    <t>60000 0015 5</t>
  </si>
  <si>
    <t>60000 0015 0</t>
  </si>
  <si>
    <t>60000 0016 1</t>
  </si>
  <si>
    <t>60000 0016 2</t>
  </si>
  <si>
    <t>60000 0016 3</t>
  </si>
  <si>
    <t>60000 0016 0</t>
  </si>
  <si>
    <t>42800 0018 0</t>
  </si>
  <si>
    <t>45000 0020 1</t>
  </si>
  <si>
    <t>45000 0020 2</t>
  </si>
  <si>
    <t>50500 0023 0</t>
  </si>
  <si>
    <t>51200 0024 0</t>
  </si>
  <si>
    <t>Обеспечение  условий для развития на территории МО пос. Лисий Нос физической культуры и массового спорта, организация и проведение официальных физкультурных мероприятий,физкультурно-оздоровительных мероприятий и спортивных мероприятий МО пос. Лисий Нос</t>
  </si>
  <si>
    <t>45700 0025 1</t>
  </si>
  <si>
    <t>45700 0025 2</t>
  </si>
  <si>
    <t>Периодические издания, учрежденные органами местного самоуправления</t>
  </si>
  <si>
    <t>00200 0002 1</t>
  </si>
  <si>
    <t>00200 0002 2</t>
  </si>
  <si>
    <t>00200 0003 1</t>
  </si>
  <si>
    <t>00200 0003 2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</si>
  <si>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</si>
  <si>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Глава местной администрации (исполнительно-распорядительного органа) муниципального образования</t>
  </si>
  <si>
    <t>Содержание и обеспечение деятельности представительного органа муниципального образования</t>
  </si>
  <si>
    <t>1.2.1.1.1.1</t>
  </si>
  <si>
    <t>1.2.1.1.2</t>
  </si>
  <si>
    <t>1.2.1.1.2.1</t>
  </si>
  <si>
    <t>1.2.1.2.1</t>
  </si>
  <si>
    <t>1.2.1.2.1.1</t>
  </si>
  <si>
    <t>79500 0049 0</t>
  </si>
  <si>
    <t xml:space="preserve">Увеличение прочих остатков  денежных средств бюджетов  внутригородских муниципальных образований городов федерального значения  </t>
  </si>
  <si>
    <t xml:space="preserve">Уменьшение прочих остатков  денежных  средств бюджетов   внутригородских муниципальных образований   городов федерального значения  </t>
  </si>
  <si>
    <t>Сумма               (тыс. руб.)</t>
  </si>
  <si>
    <t xml:space="preserve">Расходы на исполнение государственного полномочия  по составлению протоколов об административных правонарушениях за счет субвенций из бюджета Санкт-Петербурга;
</t>
  </si>
  <si>
    <t xml:space="preserve">09200 G0100 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</si>
  <si>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Санкт-Петербурга;</t>
  </si>
  <si>
    <t xml:space="preserve">00200 G0850 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</si>
  <si>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счет субвенций из бюджета Санкт-Петербурга;</t>
  </si>
  <si>
    <t>51100 G0860</t>
  </si>
  <si>
    <t>5.1.1.1.0</t>
  </si>
  <si>
    <t xml:space="preserve">806 1 16 90030 03 0100 140 </t>
  </si>
  <si>
    <t xml:space="preserve">860 1 16 90030 03 0100 140 </t>
  </si>
  <si>
    <t>к Проекту решения Муниципального Совета МО пос. Лисий Нос</t>
  </si>
  <si>
    <t>Приложение 6</t>
  </si>
  <si>
    <t xml:space="preserve">Молодежная политика </t>
  </si>
  <si>
    <t>Молодежная политика</t>
  </si>
  <si>
    <t xml:space="preserve">867 1 13 02993 03 0100 130 </t>
  </si>
  <si>
    <t xml:space="preserve">Увеличение прочих остатков денежных средств бюджетов внутригородских муниципальных образований городов федерального значения
</t>
  </si>
  <si>
    <t xml:space="preserve">Уменьшение прочих остатков денежных средств бюджетов внутригородских муниципальных образований городов федерального значения
</t>
  </si>
  <si>
    <t>Минимальный налог, зачисляемый в бюджеты субъектов Российской Федерации (за налоговые периоды, истекшие до 01 января 2016 года)</t>
  </si>
  <si>
    <t>000 2 02 15001 00 0000 151</t>
  </si>
  <si>
    <t>000 2 02 10000 00 0000 151</t>
  </si>
  <si>
    <t xml:space="preserve">993 2 02 30024 03 0000 151 </t>
  </si>
  <si>
    <t xml:space="preserve">993 2 02 30027 03 0100 151 </t>
  </si>
  <si>
    <t xml:space="preserve">000 2 02 30027 00 0000 151 </t>
  </si>
  <si>
    <t>993 2 02 15001 03 0000 151</t>
  </si>
  <si>
    <t>993 2 02 29999 03 0000 151</t>
  </si>
  <si>
    <t xml:space="preserve">993 2 02 30027 03 0200 151 </t>
  </si>
  <si>
    <t xml:space="preserve">993 2 02 30024 03 0200 151 </t>
  </si>
  <si>
    <t xml:space="preserve">993 2 02 30024 03 0100 151 </t>
  </si>
  <si>
    <t>Приложение № 4</t>
  </si>
  <si>
    <t xml:space="preserve">                         Приложение № 5</t>
  </si>
  <si>
    <t xml:space="preserve"> МЕСТНОГО БЮДЖЕТА МУНИЦИПАЛЬНОГО ОБРАЗОВАНИЯ ПОСЕЛОК ЛИСИЙ НОС НА 2018 ГОД</t>
  </si>
  <si>
    <t>"Об утверждении местного бюджета  МО пос.Лисий Нос на 2018 год"</t>
  </si>
  <si>
    <t>на 2018 год</t>
  </si>
  <si>
    <t>1.3.9</t>
  </si>
  <si>
    <t>1.3.9.1</t>
  </si>
  <si>
    <t>1.3.9.1.1</t>
  </si>
  <si>
    <t xml:space="preserve"> 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экстемизма на территории МО пос. Лисий Нос</t>
  </si>
  <si>
    <t>Муниципальная программа по участию в деятельности профилактике правонарушений в Санкт-Петербурге</t>
  </si>
  <si>
    <t>79500 0055 0</t>
  </si>
  <si>
    <t>60000 0016 5</t>
  </si>
  <si>
    <t>4.1.5.4</t>
  </si>
  <si>
    <t>4.1.5.4.1</t>
  </si>
  <si>
    <t xml:space="preserve"> РАСХОДОВ МЕСТНОГО БЮДЖЕТА МУНИЦИПАЛЬНОГО ОБРАЗОВАНИЯ ПОСЕЛОК ЛИСИЙ НОС НА 2018 год</t>
  </si>
  <si>
    <t xml:space="preserve"> РАСПРЕДЕЛЕНИЕ БЮДЖЕТНЫХ АССИГНОВАНИЙ ПО РАЗДЕЛАМ, ПОДРАЗДЕЛАМ, ЦЕЛЕВЫМ СТАТЬЯМ, ГРУППАМ, ПОДГРУППАМ ВИДОВ РАСХОДОВ МЕСТНОГО БЮДЖЕТА МУНИЦИПАЛЬНОГО ОБРАЗОВАНИЯ ПОСЕЛОК ЛИСИЙ НОС НА 2018 год</t>
  </si>
  <si>
    <t xml:space="preserve">Временное трудоустройство несовершеннолетних в возрасте от 14 до 18 лет в свободное от учебы время                           
</t>
  </si>
  <si>
    <t xml:space="preserve">                                                                                                                                                               Приложение № 7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</si>
  <si>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</si>
  <si>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</si>
  <si>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Организация дополнительных парковочных мест на дворовых территориях.</t>
  </si>
  <si>
    <t xml:space="preserve">Источники финансирования дефицита местного бюджета муниципального </t>
  </si>
  <si>
    <t xml:space="preserve"> РАСПРЕДЕЛЕНИЕ БЮДЖЕТНЫХ АССИГНОВАНИЙ ПО РАЗДЕЛАМ И ПОДРАЗДЕЛАМ  МЕСТНОГО БЮДЖЕТА МУНИЦИПАЛЬНОГО ОБРАЗОВАНИЯ ПОСЕЛОК ЛИСИЙ НОС НА 2018 год</t>
  </si>
  <si>
    <t>1.3.10</t>
  </si>
  <si>
    <t>1.3.10.1</t>
  </si>
  <si>
    <t>1.3.10.1.1</t>
  </si>
  <si>
    <t>Расходы на осуществление защиты прав потребителей</t>
  </si>
  <si>
    <t>09200 00073</t>
  </si>
  <si>
    <t>Пособия, компенсации и иные социальные выплаты
гражданам, кроме публичных нормативных обязательств</t>
  </si>
  <si>
    <t>50500 0021 0</t>
  </si>
  <si>
    <t>321</t>
  </si>
  <si>
    <t>7.1.2</t>
  </si>
  <si>
    <t>7.1.2.1</t>
  </si>
  <si>
    <t>7.1.2.1.1</t>
  </si>
  <si>
    <t>Социальное обеспечение и иные выплаты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</si>
</sst>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164" formatCode="0.0"/>
    <numFmt numFmtId="165" formatCode="#,##0.0"/>
    <numFmt numFmtId="166" formatCode="#,##0&quot;р.&quot;"/>
    <numFmt numFmtId="167" formatCode="#,##0.00&quot;р.&quot;"/>
    <numFmt numFmtId="168" formatCode="0.0%"/>
  </numFmts>
  <fonts count="36" x14ac:knownFonts="1">
    <font>
      <sz val="10"/>
      <name val="MS Sans Serif"/>
      <charset val="204"/>
    </font>
    <font>
      <sz val="10"/>
      <name val="MS Sans Serif"/>
      <family val="2"/>
      <charset val="204"/>
    </font>
    <font>
      <b/>
      <sz val="10"/>
      <name val="MS Sans Serif"/>
      <family val="2"/>
      <charset val="204"/>
    </font>
    <font>
      <sz val="14"/>
      <name val="MS Sans Serif"/>
      <family val="2"/>
      <charset val="204"/>
    </font>
    <font>
      <sz val="12"/>
      <name val="MS Sans Serif"/>
      <family val="2"/>
      <charset val="204"/>
    </font>
    <font>
      <b/>
      <sz val="12"/>
      <name val="MS Sans Serif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Bookman Old Style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6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17" fillId="0" borderId="0"/>
    <xf numFmtId="0" fontId="10" fillId="0" borderId="0"/>
    <xf numFmtId="0" fontId="14" fillId="0" borderId="0"/>
    <xf numFmtId="0" fontId="1" fillId="0" borderId="0" applyNumberFormat="0" applyFont="0" applyFill="0" applyBorder="0" applyAlignment="0" applyProtection="0">
      <alignment vertical="top"/>
    </xf>
  </cellStyleXfs>
  <cellXfs count="547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164" fontId="7" fillId="0" borderId="0" xfId="0" applyNumberFormat="1" applyFont="1" applyFill="1" applyBorder="1" applyAlignment="1" applyProtection="1">
      <alignment horizontal="center" vertical="top"/>
    </xf>
    <xf numFmtId="0" fontId="10" fillId="0" borderId="0" xfId="5"/>
    <xf numFmtId="167" fontId="10" fillId="0" borderId="0" xfId="5" applyNumberFormat="1" applyFont="1" applyFill="1" applyBorder="1" applyAlignment="1" applyProtection="1">
      <alignment horizontal="right" vertical="top"/>
    </xf>
    <xf numFmtId="0" fontId="10" fillId="0" borderId="0" xfId="5" applyNumberFormat="1" applyFont="1" applyFill="1" applyBorder="1" applyAlignment="1" applyProtection="1">
      <alignment vertical="top"/>
    </xf>
    <xf numFmtId="9" fontId="10" fillId="0" borderId="0" xfId="5" applyNumberFormat="1" applyFont="1" applyFill="1" applyBorder="1" applyAlignment="1" applyProtection="1">
      <alignment vertical="top"/>
    </xf>
    <xf numFmtId="42" fontId="10" fillId="0" borderId="0" xfId="5" applyNumberFormat="1" applyFont="1" applyFill="1" applyBorder="1" applyAlignment="1" applyProtection="1">
      <alignment horizontal="right" vertical="top"/>
    </xf>
    <xf numFmtId="167" fontId="10" fillId="0" borderId="0" xfId="5" applyNumberFormat="1"/>
    <xf numFmtId="4" fontId="10" fillId="0" borderId="0" xfId="5" applyNumberFormat="1" applyFont="1" applyFill="1" applyBorder="1" applyAlignment="1" applyProtection="1">
      <alignment vertical="top"/>
    </xf>
    <xf numFmtId="167" fontId="11" fillId="0" borderId="0" xfId="5" applyNumberFormat="1" applyFont="1"/>
    <xf numFmtId="167" fontId="10" fillId="0" borderId="7" xfId="5" applyNumberFormat="1" applyFont="1" applyFill="1" applyBorder="1" applyAlignment="1" applyProtection="1">
      <alignment horizontal="right" vertical="top"/>
    </xf>
    <xf numFmtId="0" fontId="10" fillId="0" borderId="7" xfId="5" applyNumberFormat="1" applyFont="1" applyFill="1" applyBorder="1" applyAlignment="1" applyProtection="1">
      <alignment horizontal="center" vertical="top"/>
    </xf>
    <xf numFmtId="9" fontId="10" fillId="0" borderId="7" xfId="5" applyNumberFormat="1" applyFont="1" applyFill="1" applyBorder="1" applyAlignment="1" applyProtection="1">
      <alignment vertical="top"/>
    </xf>
    <xf numFmtId="42" fontId="10" fillId="0" borderId="7" xfId="5" applyNumberFormat="1" applyFont="1" applyFill="1" applyBorder="1" applyAlignment="1" applyProtection="1">
      <alignment horizontal="right" vertical="top"/>
    </xf>
    <xf numFmtId="0" fontId="10" fillId="0" borderId="7" xfId="5" applyNumberFormat="1" applyFont="1" applyFill="1" applyBorder="1" applyAlignment="1" applyProtection="1">
      <alignment vertical="top"/>
    </xf>
    <xf numFmtId="4" fontId="12" fillId="0" borderId="7" xfId="5" applyNumberFormat="1" applyFont="1" applyFill="1" applyBorder="1" applyAlignment="1" applyProtection="1">
      <alignment vertical="top"/>
    </xf>
    <xf numFmtId="0" fontId="10" fillId="0" borderId="7" xfId="5" applyNumberFormat="1" applyFill="1" applyBorder="1" applyAlignment="1" applyProtection="1">
      <alignment vertical="top"/>
    </xf>
    <xf numFmtId="4" fontId="12" fillId="0" borderId="0" xfId="5" applyNumberFormat="1" applyFont="1" applyFill="1" applyBorder="1" applyAlignment="1" applyProtection="1">
      <alignment vertical="top"/>
    </xf>
    <xf numFmtId="167" fontId="10" fillId="0" borderId="3" xfId="5" applyNumberFormat="1" applyFont="1" applyFill="1" applyBorder="1" applyAlignment="1" applyProtection="1">
      <alignment horizontal="right" vertical="top"/>
    </xf>
    <xf numFmtId="0" fontId="13" fillId="0" borderId="7" xfId="5" applyNumberFormat="1" applyFont="1" applyFill="1" applyBorder="1" applyAlignment="1" applyProtection="1">
      <alignment vertical="top"/>
    </xf>
    <xf numFmtId="0" fontId="10" fillId="0" borderId="0" xfId="5" applyNumberFormat="1" applyFont="1" applyFill="1" applyBorder="1" applyAlignment="1" applyProtection="1">
      <alignment horizontal="center" vertical="top"/>
    </xf>
    <xf numFmtId="0" fontId="10" fillId="0" borderId="0" xfId="5" applyNumberFormat="1" applyFill="1" applyBorder="1" applyAlignment="1" applyProtection="1">
      <alignment vertical="top"/>
    </xf>
    <xf numFmtId="166" fontId="10" fillId="0" borderId="7" xfId="5" applyNumberFormat="1" applyFont="1" applyFill="1" applyBorder="1" applyAlignment="1" applyProtection="1">
      <alignment vertical="top"/>
    </xf>
    <xf numFmtId="42" fontId="12" fillId="0" borderId="7" xfId="5" applyNumberFormat="1" applyFont="1" applyFill="1" applyBorder="1" applyAlignment="1" applyProtection="1">
      <alignment horizontal="right" vertical="top"/>
    </xf>
    <xf numFmtId="9" fontId="10" fillId="0" borderId="7" xfId="5" applyNumberFormat="1" applyFont="1" applyFill="1" applyBorder="1" applyAlignment="1" applyProtection="1">
      <alignment horizontal="center" vertical="top"/>
    </xf>
    <xf numFmtId="9" fontId="10" fillId="0" borderId="0" xfId="5" applyNumberFormat="1" applyFont="1" applyFill="1" applyBorder="1" applyAlignment="1" applyProtection="1">
      <alignment horizontal="center" vertical="top"/>
    </xf>
    <xf numFmtId="167" fontId="8" fillId="0" borderId="17" xfId="5" applyNumberFormat="1" applyFont="1" applyFill="1" applyBorder="1" applyAlignment="1" applyProtection="1">
      <alignment horizontal="right" vertical="top"/>
    </xf>
    <xf numFmtId="0" fontId="10" fillId="0" borderId="9" xfId="5" applyNumberFormat="1" applyFont="1" applyFill="1" applyBorder="1" applyAlignment="1" applyProtection="1">
      <alignment horizontal="center" vertical="top"/>
    </xf>
    <xf numFmtId="9" fontId="10" fillId="0" borderId="9" xfId="5" applyNumberFormat="1" applyFont="1" applyFill="1" applyBorder="1" applyAlignment="1" applyProtection="1">
      <alignment horizontal="center" vertical="top"/>
    </xf>
    <xf numFmtId="168" fontId="10" fillId="0" borderId="9" xfId="5" applyNumberFormat="1" applyFill="1" applyBorder="1" applyAlignment="1" applyProtection="1">
      <alignment horizontal="right" vertical="top"/>
    </xf>
    <xf numFmtId="3" fontId="10" fillId="0" borderId="9" xfId="5" applyNumberFormat="1" applyFont="1" applyFill="1" applyBorder="1" applyAlignment="1" applyProtection="1">
      <alignment horizontal="center" vertical="top"/>
    </xf>
    <xf numFmtId="0" fontId="10" fillId="0" borderId="9" xfId="5" applyNumberFormat="1" applyFill="1" applyBorder="1" applyAlignment="1" applyProtection="1">
      <alignment horizontal="center" vertical="top"/>
    </xf>
    <xf numFmtId="0" fontId="10" fillId="0" borderId="9" xfId="5" applyNumberFormat="1" applyFill="1" applyBorder="1" applyAlignment="1" applyProtection="1">
      <alignment vertical="top"/>
    </xf>
    <xf numFmtId="0" fontId="10" fillId="0" borderId="13" xfId="5" applyNumberFormat="1" applyFont="1" applyFill="1" applyBorder="1" applyAlignment="1" applyProtection="1">
      <alignment horizontal="center" vertical="top"/>
    </xf>
    <xf numFmtId="9" fontId="10" fillId="0" borderId="13" xfId="5" applyNumberFormat="1" applyFont="1" applyFill="1" applyBorder="1" applyAlignment="1" applyProtection="1">
      <alignment horizontal="center" vertical="top"/>
    </xf>
    <xf numFmtId="42" fontId="10" fillId="0" borderId="13" xfId="5" applyNumberFormat="1" applyFont="1" applyFill="1" applyBorder="1" applyAlignment="1" applyProtection="1">
      <alignment horizontal="right" vertical="top"/>
    </xf>
    <xf numFmtId="3" fontId="10" fillId="0" borderId="13" xfId="5" applyNumberFormat="1" applyFont="1" applyFill="1" applyBorder="1" applyAlignment="1" applyProtection="1">
      <alignment horizontal="center" vertical="top"/>
    </xf>
    <xf numFmtId="0" fontId="10" fillId="0" borderId="13" xfId="5" applyNumberFormat="1" applyFill="1" applyBorder="1" applyAlignment="1" applyProtection="1">
      <alignment vertical="top"/>
    </xf>
    <xf numFmtId="167" fontId="13" fillId="0" borderId="16" xfId="5" applyNumberFormat="1" applyFont="1" applyFill="1" applyBorder="1" applyAlignment="1" applyProtection="1">
      <alignment horizontal="right" vertical="top"/>
    </xf>
    <xf numFmtId="42" fontId="13" fillId="0" borderId="7" xfId="5" applyNumberFormat="1" applyFont="1" applyFill="1" applyBorder="1" applyAlignment="1" applyProtection="1">
      <alignment horizontal="right" vertical="top"/>
    </xf>
    <xf numFmtId="0" fontId="13" fillId="0" borderId="13" xfId="5" applyNumberFormat="1" applyFont="1" applyFill="1" applyBorder="1" applyAlignment="1" applyProtection="1">
      <alignment horizontal="center" vertical="top"/>
    </xf>
    <xf numFmtId="167" fontId="10" fillId="0" borderId="16" xfId="5" applyNumberFormat="1" applyFont="1" applyFill="1" applyBorder="1" applyAlignment="1" applyProtection="1">
      <alignment horizontal="right" vertical="top"/>
    </xf>
    <xf numFmtId="9" fontId="13" fillId="0" borderId="13" xfId="5" applyNumberFormat="1" applyFont="1" applyFill="1" applyBorder="1" applyAlignment="1" applyProtection="1">
      <alignment horizontal="center" vertical="top"/>
    </xf>
    <xf numFmtId="3" fontId="10" fillId="0" borderId="7" xfId="5" applyNumberFormat="1" applyFont="1" applyFill="1" applyBorder="1" applyAlignment="1" applyProtection="1">
      <alignment horizontal="center" vertical="top"/>
    </xf>
    <xf numFmtId="167" fontId="8" fillId="0" borderId="16" xfId="5" applyNumberFormat="1" applyFont="1" applyFill="1" applyBorder="1" applyAlignment="1" applyProtection="1">
      <alignment horizontal="right" vertical="top"/>
    </xf>
    <xf numFmtId="168" fontId="10" fillId="0" borderId="7" xfId="5" applyNumberFormat="1" applyFill="1" applyBorder="1" applyAlignment="1" applyProtection="1">
      <alignment horizontal="right" vertical="top"/>
    </xf>
    <xf numFmtId="0" fontId="10" fillId="0" borderId="7" xfId="5" applyNumberFormat="1" applyFill="1" applyBorder="1" applyAlignment="1" applyProtection="1">
      <alignment horizontal="center" vertical="top"/>
    </xf>
    <xf numFmtId="167" fontId="10" fillId="0" borderId="18" xfId="5" applyNumberFormat="1" applyFont="1" applyFill="1" applyBorder="1" applyAlignment="1" applyProtection="1">
      <alignment horizontal="right" vertical="top"/>
    </xf>
    <xf numFmtId="0" fontId="10" fillId="0" borderId="5" xfId="5" applyNumberFormat="1" applyFont="1" applyFill="1" applyBorder="1" applyAlignment="1" applyProtection="1">
      <alignment horizontal="center" vertical="top"/>
    </xf>
    <xf numFmtId="9" fontId="10" fillId="0" borderId="5" xfId="5" applyNumberFormat="1" applyFont="1" applyFill="1" applyBorder="1" applyAlignment="1" applyProtection="1">
      <alignment horizontal="center" vertical="top"/>
    </xf>
    <xf numFmtId="42" fontId="10" fillId="0" borderId="5" xfId="5" applyNumberFormat="1" applyFont="1" applyFill="1" applyBorder="1" applyAlignment="1" applyProtection="1">
      <alignment horizontal="right" vertical="top"/>
    </xf>
    <xf numFmtId="0" fontId="10" fillId="0" borderId="5" xfId="5" applyNumberFormat="1" applyFill="1" applyBorder="1" applyAlignment="1" applyProtection="1">
      <alignment horizontal="center" vertical="top"/>
    </xf>
    <xf numFmtId="167" fontId="10" fillId="0" borderId="19" xfId="5" applyNumberFormat="1" applyFill="1" applyBorder="1" applyAlignment="1" applyProtection="1">
      <alignment horizontal="center" vertical="top"/>
    </xf>
    <xf numFmtId="0" fontId="13" fillId="0" borderId="2" xfId="5" applyNumberFormat="1" applyFont="1" applyFill="1" applyBorder="1" applyAlignment="1" applyProtection="1">
      <alignment horizontal="center" vertical="top"/>
    </xf>
    <xf numFmtId="9" fontId="13" fillId="0" borderId="2" xfId="5" applyNumberFormat="1" applyFont="1" applyFill="1" applyBorder="1" applyAlignment="1" applyProtection="1">
      <alignment horizontal="center" vertical="top"/>
    </xf>
    <xf numFmtId="42" fontId="10" fillId="0" borderId="2" xfId="5" applyNumberFormat="1" applyFill="1" applyBorder="1" applyAlignment="1" applyProtection="1">
      <alignment horizontal="center" vertical="top"/>
    </xf>
    <xf numFmtId="0" fontId="10" fillId="0" borderId="2" xfId="5" applyNumberFormat="1" applyFill="1" applyBorder="1" applyAlignment="1" applyProtection="1">
      <alignment horizontal="center" vertical="top"/>
    </xf>
    <xf numFmtId="4" fontId="10" fillId="0" borderId="0" xfId="5" applyNumberFormat="1" applyFont="1" applyFill="1" applyBorder="1" applyAlignment="1" applyProtection="1">
      <alignment horizontal="center" vertical="top"/>
    </xf>
    <xf numFmtId="0" fontId="13" fillId="0" borderId="9" xfId="5" applyNumberFormat="1" applyFont="1" applyFill="1" applyBorder="1" applyAlignment="1" applyProtection="1">
      <alignment vertical="top"/>
    </xf>
    <xf numFmtId="0" fontId="13" fillId="0" borderId="7" xfId="5" applyNumberFormat="1" applyFont="1" applyFill="1" applyBorder="1" applyAlignment="1" applyProtection="1">
      <alignment horizontal="center" vertical="top"/>
    </xf>
    <xf numFmtId="0" fontId="13" fillId="0" borderId="5" xfId="5" applyNumberFormat="1" applyFont="1" applyFill="1" applyBorder="1" applyAlignment="1" applyProtection="1">
      <alignment horizontal="center" vertical="top"/>
    </xf>
    <xf numFmtId="167" fontId="10" fillId="0" borderId="19" xfId="5" applyNumberFormat="1" applyFill="1" applyBorder="1" applyAlignment="1" applyProtection="1">
      <alignment horizontal="center" vertical="center"/>
    </xf>
    <xf numFmtId="0" fontId="10" fillId="0" borderId="2" xfId="5" applyNumberFormat="1" applyFill="1" applyBorder="1" applyAlignment="1" applyProtection="1">
      <alignment horizontal="center" vertical="center"/>
    </xf>
    <xf numFmtId="9" fontId="13" fillId="0" borderId="2" xfId="5" applyNumberFormat="1" applyFont="1" applyFill="1" applyBorder="1" applyAlignment="1" applyProtection="1">
      <alignment horizontal="center" vertical="center"/>
    </xf>
    <xf numFmtId="42" fontId="10" fillId="0" borderId="2" xfId="5" applyNumberFormat="1" applyFill="1" applyBorder="1" applyAlignment="1" applyProtection="1">
      <alignment horizontal="center" vertical="center"/>
    </xf>
    <xf numFmtId="0" fontId="10" fillId="0" borderId="0" xfId="5" applyNumberFormat="1" applyFill="1" applyBorder="1" applyAlignment="1" applyProtection="1">
      <alignment horizontal="center" vertical="top"/>
    </xf>
    <xf numFmtId="42" fontId="13" fillId="0" borderId="13" xfId="5" applyNumberFormat="1" applyFont="1" applyFill="1" applyBorder="1" applyAlignment="1" applyProtection="1">
      <alignment horizontal="right" vertical="top"/>
    </xf>
    <xf numFmtId="167" fontId="13" fillId="0" borderId="20" xfId="5" applyNumberFormat="1" applyFont="1" applyFill="1" applyBorder="1" applyAlignment="1" applyProtection="1">
      <alignment horizontal="right" vertical="top"/>
    </xf>
    <xf numFmtId="3" fontId="10" fillId="0" borderId="5" xfId="5" applyNumberFormat="1" applyFont="1" applyFill="1" applyBorder="1" applyAlignment="1" applyProtection="1">
      <alignment horizontal="center" vertical="top"/>
    </xf>
    <xf numFmtId="167" fontId="15" fillId="0" borderId="17" xfId="5" applyNumberFormat="1" applyFont="1" applyFill="1" applyBorder="1" applyAlignment="1" applyProtection="1">
      <alignment horizontal="right" vertical="top"/>
    </xf>
    <xf numFmtId="0" fontId="10" fillId="0" borderId="15" xfId="5" applyNumberFormat="1" applyFill="1" applyBorder="1" applyAlignment="1" applyProtection="1">
      <alignment vertical="top"/>
    </xf>
    <xf numFmtId="0" fontId="13" fillId="0" borderId="15" xfId="5" applyNumberFormat="1" applyFont="1" applyFill="1" applyBorder="1" applyAlignment="1" applyProtection="1">
      <alignment horizontal="center" vertical="top"/>
    </xf>
    <xf numFmtId="3" fontId="10" fillId="0" borderId="15" xfId="5" applyNumberFormat="1" applyFont="1" applyFill="1" applyBorder="1" applyAlignment="1" applyProtection="1">
      <alignment horizontal="center" vertical="top"/>
    </xf>
    <xf numFmtId="42" fontId="13" fillId="0" borderId="15" xfId="5" applyNumberFormat="1" applyFont="1" applyFill="1" applyBorder="1" applyAlignment="1" applyProtection="1">
      <alignment horizontal="right" vertical="top"/>
    </xf>
    <xf numFmtId="9" fontId="10" fillId="0" borderId="15" xfId="5" applyNumberFormat="1" applyFont="1" applyFill="1" applyBorder="1" applyAlignment="1" applyProtection="1">
      <alignment horizontal="center" vertical="top"/>
    </xf>
    <xf numFmtId="0" fontId="10" fillId="0" borderId="15" xfId="5" applyNumberFormat="1" applyFont="1" applyFill="1" applyBorder="1" applyAlignment="1" applyProtection="1">
      <alignment horizontal="center" vertical="top"/>
    </xf>
    <xf numFmtId="167" fontId="13" fillId="0" borderId="21" xfId="5" applyNumberFormat="1" applyFont="1" applyFill="1" applyBorder="1" applyAlignment="1" applyProtection="1">
      <alignment horizontal="right" vertical="top"/>
    </xf>
    <xf numFmtId="167" fontId="10" fillId="0" borderId="17" xfId="5" applyNumberFormat="1" applyFont="1" applyFill="1" applyBorder="1" applyAlignment="1" applyProtection="1">
      <alignment horizontal="right" vertical="top"/>
    </xf>
    <xf numFmtId="0" fontId="10" fillId="0" borderId="15" xfId="5" applyNumberFormat="1" applyFill="1" applyBorder="1" applyAlignment="1" applyProtection="1">
      <alignment horizontal="center" vertical="top"/>
    </xf>
    <xf numFmtId="168" fontId="10" fillId="0" borderId="15" xfId="5" applyNumberFormat="1" applyFill="1" applyBorder="1" applyAlignment="1" applyProtection="1">
      <alignment horizontal="right" vertical="top"/>
    </xf>
    <xf numFmtId="167" fontId="15" fillId="0" borderId="21" xfId="5" applyNumberFormat="1" applyFont="1" applyFill="1" applyBorder="1" applyAlignment="1" applyProtection="1">
      <alignment horizontal="right" vertical="top"/>
    </xf>
    <xf numFmtId="168" fontId="10" fillId="0" borderId="9" xfId="5" applyNumberFormat="1" applyFont="1" applyFill="1" applyBorder="1" applyAlignment="1" applyProtection="1">
      <alignment horizontal="right" vertical="top"/>
    </xf>
    <xf numFmtId="0" fontId="11" fillId="0" borderId="15" xfId="5" applyNumberFormat="1" applyFont="1" applyFill="1" applyBorder="1" applyAlignment="1" applyProtection="1">
      <alignment vertical="top"/>
    </xf>
    <xf numFmtId="0" fontId="11" fillId="0" borderId="15" xfId="5" applyNumberFormat="1" applyFont="1" applyFill="1" applyBorder="1" applyAlignment="1" applyProtection="1">
      <alignment horizontal="center" vertical="top"/>
    </xf>
    <xf numFmtId="3" fontId="11" fillId="0" borderId="15" xfId="5" applyNumberFormat="1" applyFont="1" applyFill="1" applyBorder="1" applyAlignment="1" applyProtection="1">
      <alignment horizontal="center" vertical="top"/>
    </xf>
    <xf numFmtId="42" fontId="11" fillId="0" borderId="15" xfId="5" applyNumberFormat="1" applyFont="1" applyFill="1" applyBorder="1" applyAlignment="1" applyProtection="1">
      <alignment horizontal="right" vertical="top"/>
    </xf>
    <xf numFmtId="9" fontId="11" fillId="0" borderId="15" xfId="5" applyNumberFormat="1" applyFont="1" applyFill="1" applyBorder="1" applyAlignment="1" applyProtection="1">
      <alignment horizontal="center" vertical="top"/>
    </xf>
    <xf numFmtId="167" fontId="11" fillId="0" borderId="21" xfId="5" applyNumberFormat="1" applyFont="1" applyFill="1" applyBorder="1" applyAlignment="1" applyProtection="1">
      <alignment horizontal="right" vertical="top"/>
    </xf>
    <xf numFmtId="0" fontId="11" fillId="0" borderId="7" xfId="5" applyNumberFormat="1" applyFont="1" applyFill="1" applyBorder="1" applyAlignment="1" applyProtection="1">
      <alignment vertical="top"/>
    </xf>
    <xf numFmtId="0" fontId="11" fillId="0" borderId="7" xfId="5" applyNumberFormat="1" applyFont="1" applyFill="1" applyBorder="1" applyAlignment="1" applyProtection="1">
      <alignment horizontal="center" vertical="top"/>
    </xf>
    <xf numFmtId="3" fontId="11" fillId="0" borderId="7" xfId="5" applyNumberFormat="1" applyFont="1" applyFill="1" applyBorder="1" applyAlignment="1" applyProtection="1">
      <alignment horizontal="center" vertical="top"/>
    </xf>
    <xf numFmtId="42" fontId="11" fillId="0" borderId="7" xfId="5" applyNumberFormat="1" applyFont="1" applyFill="1" applyBorder="1" applyAlignment="1" applyProtection="1">
      <alignment horizontal="right" vertical="top"/>
    </xf>
    <xf numFmtId="9" fontId="11" fillId="0" borderId="7" xfId="5" applyNumberFormat="1" applyFont="1" applyFill="1" applyBorder="1" applyAlignment="1" applyProtection="1">
      <alignment horizontal="center" vertical="top"/>
    </xf>
    <xf numFmtId="167" fontId="11" fillId="0" borderId="7" xfId="5" applyNumberFormat="1" applyFont="1" applyFill="1" applyBorder="1" applyAlignment="1" applyProtection="1">
      <alignment horizontal="right" vertical="top"/>
    </xf>
    <xf numFmtId="4" fontId="12" fillId="6" borderId="7" xfId="5" applyNumberFormat="1" applyFont="1" applyFill="1" applyBorder="1" applyAlignment="1" applyProtection="1">
      <alignment vertical="top"/>
    </xf>
    <xf numFmtId="165" fontId="18" fillId="0" borderId="7" xfId="3" applyNumberFormat="1" applyFont="1" applyFill="1" applyBorder="1" applyAlignment="1" applyProtection="1">
      <alignment horizontal="center" vertical="center"/>
    </xf>
    <xf numFmtId="0" fontId="19" fillId="0" borderId="5" xfId="3" applyNumberFormat="1" applyFont="1" applyFill="1" applyBorder="1" applyAlignment="1" applyProtection="1">
      <alignment horizontal="center" vertical="center"/>
    </xf>
    <xf numFmtId="164" fontId="18" fillId="0" borderId="6" xfId="3" applyNumberFormat="1" applyFont="1" applyFill="1" applyBorder="1" applyAlignment="1" applyProtection="1">
      <alignment horizontal="center" vertical="center"/>
    </xf>
    <xf numFmtId="0" fontId="18" fillId="0" borderId="37" xfId="3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ont="1" applyFill="1" applyBorder="1" applyAlignment="1" applyProtection="1">
      <alignment vertical="top"/>
    </xf>
    <xf numFmtId="0" fontId="6" fillId="0" borderId="4" xfId="3" applyNumberFormat="1" applyFont="1" applyFill="1" applyBorder="1" applyAlignment="1" applyProtection="1">
      <alignment horizontal="center" vertical="center"/>
    </xf>
    <xf numFmtId="0" fontId="7" fillId="0" borderId="28" xfId="3" applyNumberFormat="1" applyFont="1" applyFill="1" applyBorder="1" applyAlignment="1" applyProtection="1">
      <alignment horizontal="center" vertical="center"/>
    </xf>
    <xf numFmtId="165" fontId="18" fillId="0" borderId="18" xfId="3" applyNumberFormat="1" applyFont="1" applyFill="1" applyBorder="1" applyAlignment="1" applyProtection="1">
      <alignment horizontal="center" vertical="center"/>
    </xf>
    <xf numFmtId="0" fontId="1" fillId="0" borderId="30" xfId="0" applyNumberFormat="1" applyFont="1" applyFill="1" applyBorder="1" applyAlignment="1" applyProtection="1">
      <alignment horizontal="center" vertical="top"/>
    </xf>
    <xf numFmtId="0" fontId="1" fillId="0" borderId="10" xfId="0" applyNumberFormat="1" applyFont="1" applyFill="1" applyBorder="1" applyAlignment="1" applyProtection="1">
      <alignment horizontal="center" vertical="top"/>
    </xf>
    <xf numFmtId="165" fontId="18" fillId="0" borderId="9" xfId="3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top"/>
    </xf>
    <xf numFmtId="2" fontId="0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4" fillId="0" borderId="41" xfId="0" applyNumberFormat="1" applyFont="1" applyFill="1" applyBorder="1" applyAlignment="1" applyProtection="1">
      <alignment vertical="center"/>
    </xf>
    <xf numFmtId="165" fontId="1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right" vertical="top"/>
    </xf>
    <xf numFmtId="0" fontId="23" fillId="0" borderId="0" xfId="0" applyNumberFormat="1" applyFont="1" applyFill="1" applyBorder="1" applyAlignment="1" applyProtection="1">
      <alignment vertical="top"/>
    </xf>
    <xf numFmtId="0" fontId="20" fillId="0" borderId="0" xfId="2" applyNumberFormat="1" applyFont="1" applyFill="1" applyBorder="1" applyAlignment="1" applyProtection="1">
      <alignment horizontal="right" vertical="top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7" xfId="3" applyNumberFormat="1" applyFont="1" applyFill="1" applyBorder="1" applyAlignment="1" applyProtection="1">
      <alignment horizontal="center" vertical="center" wrapText="1"/>
    </xf>
    <xf numFmtId="0" fontId="21" fillId="0" borderId="7" xfId="3" applyNumberFormat="1" applyFont="1" applyFill="1" applyBorder="1" applyAlignment="1" applyProtection="1">
      <alignment horizontal="center" vertical="center"/>
    </xf>
    <xf numFmtId="164" fontId="21" fillId="0" borderId="7" xfId="3" applyNumberFormat="1" applyFont="1" applyFill="1" applyBorder="1" applyAlignment="1" applyProtection="1">
      <alignment horizontal="center" vertical="center" wrapText="1"/>
    </xf>
    <xf numFmtId="164" fontId="24" fillId="0" borderId="27" xfId="3" applyNumberFormat="1" applyFont="1" applyFill="1" applyBorder="1" applyAlignment="1" applyProtection="1">
      <alignment horizontal="center" vertical="center" wrapText="1"/>
    </xf>
    <xf numFmtId="164" fontId="24" fillId="0" borderId="29" xfId="3" applyNumberFormat="1" applyFont="1" applyFill="1" applyBorder="1" applyAlignment="1" applyProtection="1">
      <alignment horizontal="center" vertical="center" wrapText="1"/>
    </xf>
    <xf numFmtId="0" fontId="21" fillId="0" borderId="7" xfId="0" applyNumberFormat="1" applyFont="1" applyFill="1" applyBorder="1" applyAlignment="1" applyProtection="1">
      <alignment horizontal="center" vertical="center" wrapText="1"/>
    </xf>
    <xf numFmtId="0" fontId="21" fillId="9" borderId="7" xfId="3" applyNumberFormat="1" applyFont="1" applyFill="1" applyBorder="1" applyAlignment="1" applyProtection="1">
      <alignment horizontal="center" vertical="center"/>
    </xf>
    <xf numFmtId="3" fontId="21" fillId="9" borderId="7" xfId="3" applyNumberFormat="1" applyFont="1" applyFill="1" applyBorder="1" applyAlignment="1" applyProtection="1">
      <alignment horizontal="center" vertical="center"/>
    </xf>
    <xf numFmtId="0" fontId="21" fillId="9" borderId="7" xfId="3" applyNumberFormat="1" applyFont="1" applyFill="1" applyBorder="1" applyAlignment="1" applyProtection="1">
      <alignment horizontal="left" vertical="center"/>
    </xf>
    <xf numFmtId="164" fontId="21" fillId="9" borderId="7" xfId="3" applyNumberFormat="1" applyFont="1" applyFill="1" applyBorder="1" applyAlignment="1" applyProtection="1">
      <alignment horizontal="center" vertical="center"/>
    </xf>
    <xf numFmtId="165" fontId="21" fillId="9" borderId="7" xfId="3" applyNumberFormat="1" applyFont="1" applyFill="1" applyBorder="1" applyAlignment="1" applyProtection="1">
      <alignment horizontal="center" vertical="center"/>
    </xf>
    <xf numFmtId="164" fontId="22" fillId="9" borderId="27" xfId="3" applyNumberFormat="1" applyFont="1" applyFill="1" applyBorder="1" applyAlignment="1" applyProtection="1">
      <alignment horizontal="center" vertical="center"/>
    </xf>
    <xf numFmtId="164" fontId="22" fillId="9" borderId="29" xfId="3" applyNumberFormat="1" applyFont="1" applyFill="1" applyBorder="1" applyAlignment="1" applyProtection="1">
      <alignment horizontal="center" vertical="center"/>
    </xf>
    <xf numFmtId="165" fontId="21" fillId="9" borderId="7" xfId="0" applyNumberFormat="1" applyFont="1" applyFill="1" applyBorder="1" applyAlignment="1" applyProtection="1">
      <alignment horizontal="center" vertical="center"/>
    </xf>
    <xf numFmtId="0" fontId="21" fillId="7" borderId="7" xfId="3" applyNumberFormat="1" applyFont="1" applyFill="1" applyBorder="1" applyAlignment="1" applyProtection="1">
      <alignment horizontal="left" vertical="center"/>
    </xf>
    <xf numFmtId="3" fontId="21" fillId="7" borderId="7" xfId="3" applyNumberFormat="1" applyFont="1" applyFill="1" applyBorder="1" applyAlignment="1" applyProtection="1">
      <alignment horizontal="center" vertical="center"/>
    </xf>
    <xf numFmtId="0" fontId="21" fillId="7" borderId="7" xfId="3" applyNumberFormat="1" applyFont="1" applyFill="1" applyBorder="1" applyAlignment="1" applyProtection="1">
      <alignment horizontal="left" vertical="center" wrapText="1"/>
    </xf>
    <xf numFmtId="164" fontId="21" fillId="7" borderId="7" xfId="3" applyNumberFormat="1" applyFont="1" applyFill="1" applyBorder="1" applyAlignment="1" applyProtection="1">
      <alignment horizontal="center" vertical="center"/>
    </xf>
    <xf numFmtId="165" fontId="21" fillId="7" borderId="7" xfId="3" applyNumberFormat="1" applyFont="1" applyFill="1" applyBorder="1" applyAlignment="1" applyProtection="1">
      <alignment horizontal="center" vertical="center"/>
    </xf>
    <xf numFmtId="164" fontId="22" fillId="7" borderId="25" xfId="3" applyNumberFormat="1" applyFont="1" applyFill="1" applyBorder="1" applyAlignment="1" applyProtection="1">
      <alignment horizontal="center" vertical="center"/>
    </xf>
    <xf numFmtId="164" fontId="22" fillId="7" borderId="42" xfId="3" applyNumberFormat="1" applyFont="1" applyFill="1" applyBorder="1" applyAlignment="1" applyProtection="1">
      <alignment horizontal="center" vertical="center"/>
    </xf>
    <xf numFmtId="165" fontId="21" fillId="7" borderId="7" xfId="0" applyNumberFormat="1" applyFont="1" applyFill="1" applyBorder="1" applyAlignment="1" applyProtection="1">
      <alignment horizontal="center" vertical="center"/>
    </xf>
    <xf numFmtId="49" fontId="20" fillId="0" borderId="7" xfId="3" applyNumberFormat="1" applyFont="1" applyFill="1" applyBorder="1" applyAlignment="1" applyProtection="1">
      <alignment horizontal="left" vertical="center"/>
    </xf>
    <xf numFmtId="3" fontId="20" fillId="0" borderId="7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center" wrapText="1"/>
    </xf>
    <xf numFmtId="164" fontId="20" fillId="0" borderId="7" xfId="3" applyNumberFormat="1" applyFont="1" applyFill="1" applyBorder="1" applyAlignment="1" applyProtection="1">
      <alignment horizontal="center" vertical="center"/>
    </xf>
    <xf numFmtId="165" fontId="20" fillId="0" borderId="7" xfId="3" applyNumberFormat="1" applyFont="1" applyFill="1" applyBorder="1" applyAlignment="1" applyProtection="1">
      <alignment horizontal="center" vertical="center"/>
    </xf>
    <xf numFmtId="164" fontId="20" fillId="0" borderId="38" xfId="3" applyNumberFormat="1" applyFont="1" applyFill="1" applyBorder="1" applyAlignment="1" applyProtection="1">
      <alignment horizontal="center" vertical="center"/>
    </xf>
    <xf numFmtId="164" fontId="20" fillId="0" borderId="37" xfId="3" applyNumberFormat="1" applyFont="1" applyFill="1" applyBorder="1" applyAlignment="1" applyProtection="1">
      <alignment horizontal="center" vertical="center"/>
    </xf>
    <xf numFmtId="165" fontId="20" fillId="0" borderId="7" xfId="0" applyNumberFormat="1" applyFont="1" applyFill="1" applyBorder="1" applyAlignment="1" applyProtection="1">
      <alignment horizontal="center" vertical="center"/>
    </xf>
    <xf numFmtId="164" fontId="20" fillId="0" borderId="32" xfId="3" applyNumberFormat="1" applyFont="1" applyFill="1" applyBorder="1" applyAlignment="1" applyProtection="1">
      <alignment horizontal="center" vertical="center"/>
    </xf>
    <xf numFmtId="164" fontId="20" fillId="0" borderId="22" xfId="3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vertical="center"/>
    </xf>
    <xf numFmtId="165" fontId="21" fillId="0" borderId="7" xfId="0" applyNumberFormat="1" applyFont="1" applyFill="1" applyBorder="1" applyAlignment="1" applyProtection="1">
      <alignment horizontal="center" vertical="center"/>
    </xf>
    <xf numFmtId="164" fontId="22" fillId="7" borderId="27" xfId="3" applyNumberFormat="1" applyFont="1" applyFill="1" applyBorder="1" applyAlignment="1" applyProtection="1">
      <alignment horizontal="center" vertical="center"/>
    </xf>
    <xf numFmtId="164" fontId="22" fillId="7" borderId="26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center"/>
    </xf>
    <xf numFmtId="165" fontId="20" fillId="7" borderId="7" xfId="0" applyNumberFormat="1" applyFont="1" applyFill="1" applyBorder="1" applyAlignment="1" applyProtection="1">
      <alignment horizontal="center" vertical="center"/>
    </xf>
    <xf numFmtId="0" fontId="20" fillId="8" borderId="7" xfId="3" applyNumberFormat="1" applyFont="1" applyFill="1" applyBorder="1" applyAlignment="1" applyProtection="1">
      <alignment horizontal="left" vertical="center"/>
    </xf>
    <xf numFmtId="0" fontId="20" fillId="8" borderId="7" xfId="3" applyNumberFormat="1" applyFont="1" applyFill="1" applyBorder="1" applyAlignment="1" applyProtection="1">
      <alignment horizontal="center" vertical="center"/>
    </xf>
    <xf numFmtId="0" fontId="20" fillId="8" borderId="7" xfId="3" applyNumberFormat="1" applyFont="1" applyFill="1" applyBorder="1" applyAlignment="1" applyProtection="1">
      <alignment horizontal="left" vertical="center" wrapText="1"/>
    </xf>
    <xf numFmtId="0" fontId="20" fillId="0" borderId="7" xfId="3" applyNumberFormat="1" applyFont="1" applyFill="1" applyBorder="1" applyAlignment="1" applyProtection="1">
      <alignment horizontal="center" vertical="center"/>
    </xf>
    <xf numFmtId="164" fontId="21" fillId="2" borderId="7" xfId="3" applyNumberFormat="1" applyFont="1" applyFill="1" applyBorder="1" applyAlignment="1" applyProtection="1">
      <alignment horizontal="center" vertical="center"/>
    </xf>
    <xf numFmtId="164" fontId="20" fillId="5" borderId="7" xfId="3" applyNumberFormat="1" applyFont="1" applyFill="1" applyBorder="1" applyAlignment="1" applyProtection="1">
      <alignment horizontal="center" vertical="center"/>
    </xf>
    <xf numFmtId="164" fontId="21" fillId="7" borderId="23" xfId="3" applyNumberFormat="1" applyFont="1" applyFill="1" applyBorder="1" applyAlignment="1" applyProtection="1">
      <alignment horizontal="center" vertical="center"/>
    </xf>
    <xf numFmtId="164" fontId="21" fillId="7" borderId="24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horizontal="left" vertical="center"/>
    </xf>
    <xf numFmtId="3" fontId="21" fillId="2" borderId="7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horizontal="left" vertical="center" wrapText="1"/>
    </xf>
    <xf numFmtId="49" fontId="20" fillId="5" borderId="7" xfId="3" applyNumberFormat="1" applyFont="1" applyFill="1" applyBorder="1" applyAlignment="1" applyProtection="1">
      <alignment horizontal="left" vertical="center"/>
    </xf>
    <xf numFmtId="0" fontId="20" fillId="5" borderId="7" xfId="3" applyNumberFormat="1" applyFont="1" applyFill="1" applyBorder="1" applyAlignment="1" applyProtection="1">
      <alignment horizontal="center" vertical="center"/>
    </xf>
    <xf numFmtId="0" fontId="20" fillId="5" borderId="7" xfId="3" applyNumberFormat="1" applyFont="1" applyFill="1" applyBorder="1" applyAlignment="1" applyProtection="1">
      <alignment horizontal="left" vertical="center" wrapText="1"/>
    </xf>
    <xf numFmtId="0" fontId="21" fillId="2" borderId="7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vertical="center" wrapText="1"/>
    </xf>
    <xf numFmtId="165" fontId="21" fillId="2" borderId="7" xfId="3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vertical="center"/>
    </xf>
    <xf numFmtId="49" fontId="20" fillId="0" borderId="7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vertical="center" wrapText="1"/>
    </xf>
    <xf numFmtId="0" fontId="20" fillId="0" borderId="7" xfId="3" applyNumberFormat="1" applyFont="1" applyFill="1" applyBorder="1" applyAlignment="1" applyProtection="1">
      <alignment vertical="top" wrapText="1"/>
    </xf>
    <xf numFmtId="164" fontId="21" fillId="0" borderId="7" xfId="3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164" fontId="20" fillId="7" borderId="7" xfId="3" applyNumberFormat="1" applyFont="1" applyFill="1" applyBorder="1" applyAlignment="1" applyProtection="1">
      <alignment horizontal="center" vertical="center"/>
    </xf>
    <xf numFmtId="164" fontId="21" fillId="7" borderId="27" xfId="3" applyNumberFormat="1" applyFont="1" applyFill="1" applyBorder="1" applyAlignment="1" applyProtection="1">
      <alignment horizontal="center" vertical="center"/>
    </xf>
    <xf numFmtId="164" fontId="21" fillId="7" borderId="26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top" wrapText="1"/>
    </xf>
    <xf numFmtId="164" fontId="21" fillId="4" borderId="7" xfId="3" applyNumberFormat="1" applyFont="1" applyFill="1" applyBorder="1" applyAlignment="1" applyProtection="1">
      <alignment horizontal="center" vertical="center"/>
    </xf>
    <xf numFmtId="164" fontId="20" fillId="0" borderId="31" xfId="3" applyNumberFormat="1" applyFont="1" applyFill="1" applyBorder="1" applyAlignment="1" applyProtection="1">
      <alignment horizontal="center" vertical="center"/>
    </xf>
    <xf numFmtId="164" fontId="20" fillId="0" borderId="23" xfId="3" applyNumberFormat="1" applyFont="1" applyFill="1" applyBorder="1" applyAlignment="1" applyProtection="1">
      <alignment horizontal="center" vertical="center"/>
    </xf>
    <xf numFmtId="164" fontId="20" fillId="0" borderId="24" xfId="3" applyNumberFormat="1" applyFont="1" applyFill="1" applyBorder="1" applyAlignment="1" applyProtection="1">
      <alignment horizontal="center" vertical="center"/>
    </xf>
    <xf numFmtId="164" fontId="20" fillId="9" borderId="7" xfId="3" applyNumberFormat="1" applyFont="1" applyFill="1" applyBorder="1" applyAlignment="1" applyProtection="1">
      <alignment horizontal="center" vertical="center"/>
    </xf>
    <xf numFmtId="164" fontId="21" fillId="9" borderId="27" xfId="3" applyNumberFormat="1" applyFont="1" applyFill="1" applyBorder="1" applyAlignment="1" applyProtection="1">
      <alignment horizontal="center" vertical="center"/>
    </xf>
    <xf numFmtId="164" fontId="21" fillId="9" borderId="26" xfId="3" applyNumberFormat="1" applyFont="1" applyFill="1" applyBorder="1" applyAlignment="1" applyProtection="1">
      <alignment horizontal="center" vertical="center"/>
    </xf>
    <xf numFmtId="164" fontId="21" fillId="7" borderId="25" xfId="3" applyNumberFormat="1" applyFont="1" applyFill="1" applyBorder="1" applyAlignment="1" applyProtection="1">
      <alignment horizontal="center" vertical="center"/>
    </xf>
    <xf numFmtId="164" fontId="21" fillId="7" borderId="43" xfId="3" applyNumberFormat="1" applyFont="1" applyFill="1" applyBorder="1" applyAlignment="1" applyProtection="1">
      <alignment horizontal="center" vertical="center"/>
    </xf>
    <xf numFmtId="164" fontId="21" fillId="0" borderId="31" xfId="3" applyNumberFormat="1" applyFont="1" applyFill="1" applyBorder="1" applyAlignment="1" applyProtection="1">
      <alignment horizontal="center" vertical="center"/>
    </xf>
    <xf numFmtId="164" fontId="21" fillId="0" borderId="37" xfId="3" applyNumberFormat="1" applyFont="1" applyFill="1" applyBorder="1" applyAlignment="1" applyProtection="1">
      <alignment horizontal="center" vertical="center"/>
    </xf>
    <xf numFmtId="164" fontId="21" fillId="0" borderId="23" xfId="3" applyNumberFormat="1" applyFont="1" applyFill="1" applyBorder="1" applyAlignment="1" applyProtection="1">
      <alignment horizontal="center" vertical="center"/>
    </xf>
    <xf numFmtId="164" fontId="21" fillId="0" borderId="24" xfId="3" applyNumberFormat="1" applyFont="1" applyFill="1" applyBorder="1" applyAlignment="1" applyProtection="1">
      <alignment horizontal="center" vertical="center"/>
    </xf>
    <xf numFmtId="164" fontId="20" fillId="2" borderId="7" xfId="3" applyNumberFormat="1" applyFont="1" applyFill="1" applyBorder="1" applyAlignment="1" applyProtection="1">
      <alignment horizontal="center" vertical="center"/>
    </xf>
    <xf numFmtId="164" fontId="20" fillId="0" borderId="36" xfId="3" applyNumberFormat="1" applyFont="1" applyFill="1" applyBorder="1" applyAlignment="1" applyProtection="1">
      <alignment horizontal="center" vertical="center"/>
    </xf>
    <xf numFmtId="164" fontId="20" fillId="0" borderId="33" xfId="3" applyNumberFormat="1" applyFont="1" applyFill="1" applyBorder="1" applyAlignment="1" applyProtection="1">
      <alignment horizontal="center" vertical="center"/>
    </xf>
    <xf numFmtId="49" fontId="21" fillId="0" borderId="7" xfId="3" applyNumberFormat="1" applyFont="1" applyFill="1" applyBorder="1" applyAlignment="1" applyProtection="1">
      <alignment horizontal="left" vertical="center"/>
    </xf>
    <xf numFmtId="3" fontId="21" fillId="0" borderId="7" xfId="3" applyNumberFormat="1" applyFont="1" applyFill="1" applyBorder="1" applyAlignment="1" applyProtection="1">
      <alignment horizontal="center" vertical="center"/>
    </xf>
    <xf numFmtId="0" fontId="21" fillId="0" borderId="7" xfId="3" applyNumberFormat="1" applyFont="1" applyFill="1" applyBorder="1" applyAlignment="1" applyProtection="1">
      <alignment horizontal="left" vertical="center" wrapText="1"/>
    </xf>
    <xf numFmtId="165" fontId="20" fillId="5" borderId="7" xfId="3" applyNumberFormat="1" applyFont="1" applyFill="1" applyBorder="1" applyAlignment="1" applyProtection="1">
      <alignment horizontal="center" vertical="center"/>
    </xf>
    <xf numFmtId="164" fontId="20" fillId="5" borderId="31" xfId="3" applyNumberFormat="1" applyFont="1" applyFill="1" applyBorder="1" applyAlignment="1" applyProtection="1">
      <alignment horizontal="center" vertical="center"/>
    </xf>
    <xf numFmtId="164" fontId="20" fillId="5" borderId="37" xfId="3" applyNumberFormat="1" applyFont="1" applyFill="1" applyBorder="1" applyAlignment="1" applyProtection="1">
      <alignment horizontal="center" vertical="center"/>
    </xf>
    <xf numFmtId="164" fontId="21" fillId="5" borderId="40" xfId="3" applyNumberFormat="1" applyFont="1" applyFill="1" applyBorder="1" applyAlignment="1" applyProtection="1">
      <alignment horizontal="center" vertical="center"/>
    </xf>
    <xf numFmtId="164" fontId="21" fillId="5" borderId="29" xfId="3" applyNumberFormat="1" applyFont="1" applyFill="1" applyBorder="1" applyAlignment="1" applyProtection="1">
      <alignment horizontal="center" vertical="center"/>
    </xf>
    <xf numFmtId="164" fontId="20" fillId="5" borderId="23" xfId="3" applyNumberFormat="1" applyFont="1" applyFill="1" applyBorder="1" applyAlignment="1" applyProtection="1">
      <alignment horizontal="center" vertical="center"/>
    </xf>
    <xf numFmtId="164" fontId="20" fillId="5" borderId="24" xfId="3" applyNumberFormat="1" applyFont="1" applyFill="1" applyBorder="1" applyAlignment="1" applyProtection="1">
      <alignment horizontal="center" vertical="center"/>
    </xf>
    <xf numFmtId="0" fontId="25" fillId="0" borderId="7" xfId="0" applyNumberFormat="1" applyFont="1" applyFill="1" applyBorder="1" applyAlignment="1" applyProtection="1">
      <alignment horizontal="left" vertical="top" wrapText="1"/>
    </xf>
    <xf numFmtId="165" fontId="18" fillId="0" borderId="31" xfId="3" applyNumberFormat="1" applyFont="1" applyFill="1" applyBorder="1" applyAlignment="1" applyProtection="1">
      <alignment horizontal="center" vertical="center"/>
    </xf>
    <xf numFmtId="165" fontId="18" fillId="0" borderId="37" xfId="3" applyNumberFormat="1" applyFont="1" applyFill="1" applyBorder="1" applyAlignment="1" applyProtection="1">
      <alignment horizontal="center" vertical="center"/>
    </xf>
    <xf numFmtId="164" fontId="21" fillId="0" borderId="27" xfId="3" applyNumberFormat="1" applyFont="1" applyFill="1" applyBorder="1" applyAlignment="1" applyProtection="1">
      <alignment horizontal="center" vertical="center"/>
    </xf>
    <xf numFmtId="164" fontId="21" fillId="0" borderId="26" xfId="3" applyNumberFormat="1" applyFont="1" applyFill="1" applyBorder="1" applyAlignment="1" applyProtection="1">
      <alignment horizontal="center" vertical="center"/>
    </xf>
    <xf numFmtId="165" fontId="21" fillId="0" borderId="7" xfId="3" applyNumberFormat="1" applyFont="1" applyFill="1" applyBorder="1" applyAlignment="1" applyProtection="1">
      <alignment horizontal="center" vertical="center"/>
    </xf>
    <xf numFmtId="164" fontId="21" fillId="5" borderId="7" xfId="3" applyNumberFormat="1" applyFont="1" applyFill="1" applyBorder="1" applyAlignment="1" applyProtection="1">
      <alignment horizontal="center" vertical="center"/>
    </xf>
    <xf numFmtId="164" fontId="21" fillId="5" borderId="31" xfId="3" applyNumberFormat="1" applyFont="1" applyFill="1" applyBorder="1" applyAlignment="1" applyProtection="1">
      <alignment horizontal="center" vertical="center"/>
    </xf>
    <xf numFmtId="164" fontId="21" fillId="5" borderId="37" xfId="3" applyNumberFormat="1" applyFont="1" applyFill="1" applyBorder="1" applyAlignment="1" applyProtection="1">
      <alignment horizontal="center" vertical="center"/>
    </xf>
    <xf numFmtId="164" fontId="20" fillId="0" borderId="35" xfId="3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vertical="top"/>
    </xf>
    <xf numFmtId="0" fontId="21" fillId="0" borderId="7" xfId="3" applyNumberFormat="1" applyFont="1" applyFill="1" applyBorder="1" applyAlignment="1" applyProtection="1">
      <alignment horizontal="center" vertical="top"/>
    </xf>
    <xf numFmtId="0" fontId="21" fillId="0" borderId="7" xfId="3" applyNumberFormat="1" applyFont="1" applyFill="1" applyBorder="1" applyAlignment="1" applyProtection="1">
      <alignment horizontal="left" vertical="top"/>
    </xf>
    <xf numFmtId="165" fontId="18" fillId="0" borderId="27" xfId="3" applyNumberFormat="1" applyFont="1" applyFill="1" applyBorder="1" applyAlignment="1" applyProtection="1">
      <alignment horizontal="center" vertical="center"/>
    </xf>
    <xf numFmtId="165" fontId="18" fillId="0" borderId="29" xfId="3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vertical="top"/>
      <protection locked="0"/>
    </xf>
    <xf numFmtId="164" fontId="20" fillId="0" borderId="0" xfId="0" applyNumberFormat="1" applyFont="1" applyFill="1" applyBorder="1" applyAlignment="1" applyProtection="1">
      <alignment vertical="top"/>
      <protection locked="0"/>
    </xf>
    <xf numFmtId="0" fontId="21" fillId="0" borderId="0" xfId="0" applyNumberFormat="1" applyFont="1" applyFill="1" applyBorder="1" applyAlignment="1" applyProtection="1">
      <alignment horizontal="right" vertical="top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 vertical="top"/>
      <protection hidden="1"/>
    </xf>
    <xf numFmtId="0" fontId="20" fillId="0" borderId="0" xfId="0" applyNumberFormat="1" applyFont="1" applyFill="1" applyBorder="1" applyAlignment="1" applyProtection="1">
      <alignment horizontal="left" vertical="top"/>
      <protection hidden="1"/>
    </xf>
    <xf numFmtId="0" fontId="26" fillId="0" borderId="0" xfId="0" applyNumberFormat="1" applyFont="1" applyFill="1" applyBorder="1" applyAlignment="1" applyProtection="1">
      <alignment vertical="top"/>
      <protection hidden="1"/>
    </xf>
    <xf numFmtId="164" fontId="20" fillId="0" borderId="0" xfId="0" applyNumberFormat="1" applyFont="1" applyFill="1" applyBorder="1" applyAlignment="1" applyProtection="1">
      <alignment vertical="top"/>
      <protection hidden="1"/>
    </xf>
    <xf numFmtId="0" fontId="2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2" xfId="0" applyNumberFormat="1" applyFont="1" applyFill="1" applyBorder="1" applyAlignment="1" applyProtection="1">
      <alignment horizontal="center" vertical="center"/>
      <protection hidden="1"/>
    </xf>
    <xf numFmtId="0" fontId="24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4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4" fillId="0" borderId="2" xfId="3" applyNumberFormat="1" applyFont="1" applyFill="1" applyBorder="1" applyAlignment="1" applyProtection="1">
      <alignment horizontal="center" vertical="center" wrapText="1"/>
    </xf>
    <xf numFmtId="164" fontId="24" fillId="0" borderId="19" xfId="3" applyNumberFormat="1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7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16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35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24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1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7" xfId="2" applyNumberFormat="1" applyFont="1" applyFill="1" applyBorder="1" applyAlignment="1" applyProtection="1">
      <alignment horizontal="center" vertical="center"/>
    </xf>
    <xf numFmtId="49" fontId="29" fillId="0" borderId="7" xfId="2" applyNumberFormat="1" applyFont="1" applyFill="1" applyBorder="1" applyAlignment="1" applyProtection="1">
      <alignment horizontal="justify" vertical="center"/>
    </xf>
    <xf numFmtId="49" fontId="29" fillId="0" borderId="7" xfId="2" applyNumberFormat="1" applyFont="1" applyFill="1" applyBorder="1" applyAlignment="1" applyProtection="1">
      <alignment horizontal="justify" vertical="center" wrapText="1"/>
    </xf>
    <xf numFmtId="49" fontId="29" fillId="0" borderId="7" xfId="0" applyNumberFormat="1" applyFont="1" applyFill="1" applyBorder="1" applyAlignment="1" applyProtection="1">
      <alignment horizontal="center" vertical="center"/>
      <protection hidden="1"/>
    </xf>
    <xf numFmtId="49" fontId="29" fillId="0" borderId="11" xfId="0" applyNumberFormat="1" applyFont="1" applyFill="1" applyBorder="1" applyAlignment="1">
      <alignment vertical="center"/>
    </xf>
    <xf numFmtId="164" fontId="29" fillId="0" borderId="7" xfId="0" applyNumberFormat="1" applyFont="1" applyFill="1" applyBorder="1" applyAlignment="1" applyProtection="1">
      <alignment horizontal="center" vertical="center"/>
      <protection hidden="1"/>
    </xf>
    <xf numFmtId="165" fontId="29" fillId="0" borderId="16" xfId="0" applyNumberFormat="1" applyFont="1" applyFill="1" applyBorder="1" applyAlignment="1" applyProtection="1">
      <alignment horizontal="center" vertical="center"/>
      <protection hidden="1"/>
    </xf>
    <xf numFmtId="49" fontId="29" fillId="0" borderId="11" xfId="0" applyNumberFormat="1" applyFont="1" applyFill="1" applyBorder="1" applyAlignment="1" applyProtection="1">
      <alignment vertical="center" wrapText="1"/>
      <protection hidden="1"/>
    </xf>
    <xf numFmtId="12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39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33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1" xfId="2" applyNumberFormat="1" applyFont="1" applyFill="1" applyBorder="1" applyAlignment="1" applyProtection="1">
      <alignment vertical="center"/>
    </xf>
    <xf numFmtId="164" fontId="29" fillId="0" borderId="16" xfId="2" applyNumberFormat="1" applyFont="1" applyFill="1" applyBorder="1" applyAlignment="1" applyProtection="1">
      <alignment horizontal="center" vertical="center"/>
    </xf>
    <xf numFmtId="49" fontId="29" fillId="0" borderId="4" xfId="2" applyNumberFormat="1" applyFont="1" applyFill="1" applyBorder="1" applyAlignment="1" applyProtection="1">
      <alignment horizontal="left" vertical="center"/>
    </xf>
    <xf numFmtId="49" fontId="29" fillId="0" borderId="5" xfId="2" applyNumberFormat="1" applyFont="1" applyFill="1" applyBorder="1" applyAlignment="1" applyProtection="1">
      <alignment horizontal="left" vertical="center"/>
    </xf>
    <xf numFmtId="49" fontId="29" fillId="0" borderId="5" xfId="2" applyNumberFormat="1" applyFont="1" applyFill="1" applyBorder="1" applyAlignment="1" applyProtection="1">
      <alignment horizontal="center" vertical="center"/>
    </xf>
    <xf numFmtId="49" fontId="29" fillId="0" borderId="5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5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18" xfId="2" applyNumberFormat="1" applyFont="1" applyFill="1" applyBorder="1" applyAlignment="1" applyProtection="1">
      <alignment horizontal="center" vertical="center"/>
    </xf>
    <xf numFmtId="165" fontId="29" fillId="0" borderId="18" xfId="2" applyNumberFormat="1" applyFont="1" applyFill="1" applyBorder="1" applyAlignment="1" applyProtection="1">
      <alignment horizontal="center" vertical="center"/>
    </xf>
    <xf numFmtId="49" fontId="29" fillId="0" borderId="7" xfId="2" applyNumberFormat="1" applyFont="1" applyFill="1" applyBorder="1" applyAlignment="1" applyProtection="1">
      <alignment horizontal="center" vertical="center" wrapText="1"/>
    </xf>
    <xf numFmtId="165" fontId="29" fillId="0" borderId="16" xfId="2" applyNumberFormat="1" applyFont="1" applyFill="1" applyBorder="1" applyAlignment="1" applyProtection="1">
      <alignment horizontal="center" vertical="center"/>
    </xf>
    <xf numFmtId="12" fontId="29" fillId="0" borderId="7" xfId="2" applyNumberFormat="1" applyFont="1" applyFill="1" applyBorder="1" applyAlignment="1" applyProtection="1">
      <alignment horizontal="justify" vertical="center" wrapText="1"/>
    </xf>
    <xf numFmtId="12" fontId="29" fillId="0" borderId="7" xfId="2" applyNumberFormat="1" applyFont="1" applyFill="1" applyBorder="1" applyAlignment="1" applyProtection="1">
      <alignment horizontal="center" vertical="center" wrapText="1"/>
    </xf>
    <xf numFmtId="49" fontId="29" fillId="0" borderId="12" xfId="2" applyNumberFormat="1" applyFont="1" applyFill="1" applyBorder="1" applyAlignment="1" applyProtection="1">
      <alignment vertical="center"/>
    </xf>
    <xf numFmtId="12" fontId="29" fillId="0" borderId="13" xfId="2" applyNumberFormat="1" applyFont="1" applyFill="1" applyBorder="1" applyAlignment="1" applyProtection="1">
      <alignment horizontal="center" vertical="center" wrapText="1"/>
    </xf>
    <xf numFmtId="49" fontId="29" fillId="0" borderId="13" xfId="2" applyNumberFormat="1" applyFont="1" applyFill="1" applyBorder="1" applyAlignment="1" applyProtection="1">
      <alignment horizontal="center" vertical="center"/>
    </xf>
    <xf numFmtId="49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13" xfId="0" applyNumberFormat="1" applyFont="1" applyFill="1" applyBorder="1" applyAlignment="1" applyProtection="1">
      <alignment vertical="center"/>
    </xf>
    <xf numFmtId="164" fontId="29" fillId="0" borderId="20" xfId="2" applyNumberFormat="1" applyFont="1" applyFill="1" applyBorder="1" applyAlignment="1" applyProtection="1">
      <alignment horizontal="center" vertical="center"/>
    </xf>
    <xf numFmtId="49" fontId="29" fillId="0" borderId="4" xfId="2" applyNumberFormat="1" applyFont="1" applyFill="1" applyBorder="1" applyAlignment="1" applyProtection="1">
      <alignment vertical="center"/>
    </xf>
    <xf numFmtId="49" fontId="29" fillId="0" borderId="5" xfId="2" applyNumberFormat="1" applyFont="1" applyFill="1" applyBorder="1" applyAlignment="1" applyProtection="1">
      <alignment horizontal="justify" vertical="center" wrapText="1"/>
    </xf>
    <xf numFmtId="49" fontId="29" fillId="0" borderId="5" xfId="2" applyNumberFormat="1" applyFont="1" applyFill="1" applyBorder="1" applyAlignment="1" applyProtection="1">
      <alignment horizontal="center" vertical="center" wrapText="1"/>
    </xf>
    <xf numFmtId="164" fontId="29" fillId="0" borderId="23" xfId="3" applyNumberFormat="1" applyFont="1" applyFill="1" applyBorder="1" applyAlignment="1" applyProtection="1">
      <alignment horizontal="center" vertical="center"/>
    </xf>
    <xf numFmtId="164" fontId="29" fillId="0" borderId="22" xfId="3" applyNumberFormat="1" applyFont="1" applyFill="1" applyBorder="1" applyAlignment="1" applyProtection="1">
      <alignment horizontal="center" vertical="center"/>
    </xf>
    <xf numFmtId="49" fontId="29" fillId="0" borderId="14" xfId="2" applyNumberFormat="1" applyFont="1" applyFill="1" applyBorder="1" applyAlignment="1" applyProtection="1">
      <alignment vertical="center"/>
    </xf>
    <xf numFmtId="49" fontId="29" fillId="0" borderId="13" xfId="2" applyNumberFormat="1" applyFont="1" applyFill="1" applyBorder="1" applyAlignment="1" applyProtection="1">
      <alignment horizontal="justify" vertical="center" wrapText="1"/>
    </xf>
    <xf numFmtId="49" fontId="29" fillId="0" borderId="13" xfId="2" applyNumberFormat="1" applyFont="1" applyFill="1" applyBorder="1" applyAlignment="1" applyProtection="1">
      <alignment horizontal="center" vertical="center" wrapText="1"/>
    </xf>
    <xf numFmtId="165" fontId="29" fillId="0" borderId="20" xfId="2" applyNumberFormat="1" applyFont="1" applyFill="1" applyBorder="1" applyAlignment="1" applyProtection="1">
      <alignment horizontal="center" vertical="center"/>
    </xf>
    <xf numFmtId="164" fontId="29" fillId="0" borderId="7" xfId="3" applyNumberFormat="1" applyFont="1" applyFill="1" applyBorder="1" applyAlignment="1" applyProtection="1">
      <alignment horizontal="center" vertical="center"/>
    </xf>
    <xf numFmtId="164" fontId="29" fillId="0" borderId="18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18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7" xfId="0" applyFont="1" applyFill="1" applyBorder="1" applyAlignment="1">
      <alignment horizontal="left" vertical="center" wrapText="1"/>
    </xf>
    <xf numFmtId="0" fontId="29" fillId="0" borderId="0" xfId="0" applyNumberFormat="1" applyFont="1" applyFill="1" applyBorder="1" applyAlignment="1" applyProtection="1">
      <alignment horizontal="center" vertical="center"/>
    </xf>
    <xf numFmtId="164" fontId="29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vertical="center"/>
    </xf>
    <xf numFmtId="49" fontId="29" fillId="0" borderId="7" xfId="0" applyNumberFormat="1" applyFont="1" applyFill="1" applyBorder="1" applyAlignment="1" applyProtection="1">
      <alignment horizontal="justify" vertical="center" wrapText="1"/>
      <protection hidden="1"/>
    </xf>
    <xf numFmtId="49" fontId="29" fillId="0" borderId="12" xfId="0" applyNumberFormat="1" applyFont="1" applyFill="1" applyBorder="1" applyAlignment="1" applyProtection="1">
      <alignment vertical="center" wrapText="1"/>
      <protection hidden="1"/>
    </xf>
    <xf numFmtId="12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34" xfId="0" applyNumberFormat="1" applyFont="1" applyFill="1" applyBorder="1" applyAlignment="1" applyProtection="1">
      <alignment horizontal="center" vertical="center"/>
    </xf>
    <xf numFmtId="164" fontId="20" fillId="0" borderId="34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top"/>
    </xf>
    <xf numFmtId="0" fontId="30" fillId="0" borderId="0" xfId="0" applyNumberFormat="1" applyFont="1" applyFill="1" applyBorder="1" applyAlignment="1" applyProtection="1">
      <alignment vertical="top" wrapText="1"/>
    </xf>
    <xf numFmtId="0" fontId="30" fillId="0" borderId="0" xfId="0" applyNumberFormat="1" applyFont="1" applyFill="1" applyBorder="1" applyAlignment="1" applyProtection="1">
      <alignment horizontal="right" vertical="top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left" vertical="center" wrapText="1"/>
    </xf>
    <xf numFmtId="165" fontId="24" fillId="0" borderId="7" xfId="0" applyNumberFormat="1" applyFont="1" applyFill="1" applyBorder="1" applyAlignment="1" applyProtection="1">
      <alignment horizontal="center" vertical="center" wrapText="1"/>
    </xf>
    <xf numFmtId="165" fontId="24" fillId="0" borderId="7" xfId="0" applyNumberFormat="1" applyFont="1" applyFill="1" applyBorder="1" applyAlignment="1" applyProtection="1">
      <alignment horizontal="center" vertical="center"/>
    </xf>
    <xf numFmtId="0" fontId="31" fillId="0" borderId="7" xfId="0" applyNumberFormat="1" applyFont="1" applyFill="1" applyBorder="1" applyAlignment="1" applyProtection="1">
      <alignment horizontal="left" vertical="center" wrapText="1"/>
    </xf>
    <xf numFmtId="165" fontId="31" fillId="0" borderId="7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 applyAlignment="1" applyProtection="1">
      <alignment vertical="center"/>
    </xf>
    <xf numFmtId="165" fontId="0" fillId="0" borderId="0" xfId="0" applyNumberFormat="1" applyFont="1" applyFill="1" applyBorder="1" applyAlignment="1" applyProtection="1">
      <alignment vertical="top"/>
    </xf>
    <xf numFmtId="4" fontId="1" fillId="0" borderId="0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vertical="top"/>
    </xf>
    <xf numFmtId="4" fontId="2" fillId="0" borderId="0" xfId="0" applyNumberFormat="1" applyFont="1" applyFill="1" applyBorder="1" applyAlignment="1" applyProtection="1">
      <alignment vertical="center"/>
    </xf>
    <xf numFmtId="4" fontId="5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vertical="center"/>
    </xf>
    <xf numFmtId="0" fontId="31" fillId="0" borderId="7" xfId="0" applyNumberFormat="1" applyFont="1" applyFill="1" applyBorder="1" applyAlignment="1" applyProtection="1">
      <alignment horizontal="center" vertical="top" wrapText="1"/>
    </xf>
    <xf numFmtId="0" fontId="31" fillId="0" borderId="7" xfId="0" applyNumberFormat="1" applyFont="1" applyFill="1" applyBorder="1" applyAlignment="1" applyProtection="1">
      <alignment horizontal="center" vertical="top"/>
    </xf>
    <xf numFmtId="0" fontId="32" fillId="0" borderId="0" xfId="0" applyNumberFormat="1" applyFont="1" applyFill="1" applyBorder="1" applyAlignment="1" applyProtection="1">
      <alignment vertical="top"/>
    </xf>
    <xf numFmtId="0" fontId="23" fillId="0" borderId="0" xfId="0" applyNumberFormat="1" applyFont="1" applyFill="1" applyBorder="1" applyAlignment="1" applyProtection="1">
      <alignment vertical="top" wrapText="1"/>
    </xf>
    <xf numFmtId="0" fontId="24" fillId="0" borderId="0" xfId="4" applyNumberFormat="1" applyFont="1" applyFill="1" applyBorder="1" applyAlignment="1" applyProtection="1">
      <alignment horizontal="right" vertical="center"/>
    </xf>
    <xf numFmtId="49" fontId="31" fillId="0" borderId="0" xfId="4" applyNumberFormat="1" applyFont="1" applyFill="1" applyBorder="1" applyAlignment="1" applyProtection="1">
      <alignment horizontal="center" vertical="center"/>
    </xf>
    <xf numFmtId="0" fontId="31" fillId="0" borderId="0" xfId="4" applyNumberFormat="1" applyFont="1" applyFill="1" applyBorder="1" applyAlignment="1" applyProtection="1">
      <alignment vertical="top"/>
    </xf>
    <xf numFmtId="0" fontId="31" fillId="0" borderId="0" xfId="4" applyNumberFormat="1" applyFont="1" applyFill="1" applyBorder="1" applyAlignment="1" applyProtection="1">
      <alignment horizontal="right" vertical="center" wrapText="1"/>
    </xf>
    <xf numFmtId="0" fontId="34" fillId="0" borderId="7" xfId="0" applyNumberFormat="1" applyFont="1" applyFill="1" applyBorder="1" applyAlignment="1" applyProtection="1">
      <alignment horizontal="center" vertical="center" wrapText="1"/>
    </xf>
    <xf numFmtId="0" fontId="35" fillId="0" borderId="7" xfId="0" applyNumberFormat="1" applyFont="1" applyFill="1" applyBorder="1" applyAlignment="1" applyProtection="1">
      <alignment vertical="top" wrapText="1"/>
    </xf>
    <xf numFmtId="49" fontId="27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27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7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7" fillId="0" borderId="19" xfId="0" applyNumberFormat="1" applyFont="1" applyFill="1" applyBorder="1" applyAlignment="1" applyProtection="1">
      <alignment horizontal="center" vertical="center" wrapText="1"/>
      <protection hidden="1"/>
    </xf>
    <xf numFmtId="165" fontId="27" fillId="0" borderId="19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18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18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7" xfId="0" applyNumberFormat="1" applyFont="1" applyFill="1" applyBorder="1" applyAlignment="1" applyProtection="1">
      <alignment horizontal="left" vertical="center" wrapText="1"/>
      <protection hidden="1"/>
    </xf>
    <xf numFmtId="164" fontId="28" fillId="0" borderId="16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16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2" applyNumberFormat="1" applyFont="1" applyFill="1" applyBorder="1" applyAlignment="1" applyProtection="1">
      <alignment horizontal="left" vertical="center" wrapText="1"/>
    </xf>
    <xf numFmtId="49" fontId="28" fillId="0" borderId="7" xfId="2" applyNumberFormat="1" applyFont="1" applyFill="1" applyBorder="1" applyAlignment="1" applyProtection="1">
      <alignment horizontal="center" vertical="center"/>
    </xf>
    <xf numFmtId="164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>
      <alignment vertical="center"/>
    </xf>
    <xf numFmtId="0" fontId="28" fillId="0" borderId="7" xfId="0" applyFont="1" applyFill="1" applyBorder="1" applyAlignment="1">
      <alignment horizontal="left" vertical="center" wrapText="1"/>
    </xf>
    <xf numFmtId="49" fontId="28" fillId="0" borderId="7" xfId="0" applyNumberFormat="1" applyFont="1" applyFill="1" applyBorder="1" applyAlignment="1" applyProtection="1">
      <alignment horizontal="center" vertical="center"/>
      <protection hidden="1"/>
    </xf>
    <xf numFmtId="2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2" fontId="28" fillId="0" borderId="24" xfId="0" applyNumberFormat="1" applyFont="1" applyFill="1" applyBorder="1" applyAlignment="1" applyProtection="1">
      <alignment horizontal="center" vertical="center" wrapText="1"/>
      <protection hidden="1"/>
    </xf>
    <xf numFmtId="2" fontId="29" fillId="0" borderId="24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 applyProtection="1">
      <alignment vertical="center" wrapText="1"/>
      <protection hidden="1"/>
    </xf>
    <xf numFmtId="164" fontId="28" fillId="0" borderId="7" xfId="0" applyNumberFormat="1" applyFont="1" applyFill="1" applyBorder="1" applyAlignment="1" applyProtection="1">
      <alignment horizontal="center" vertical="center"/>
      <protection hidden="1"/>
    </xf>
    <xf numFmtId="164" fontId="28" fillId="0" borderId="16" xfId="0" applyNumberFormat="1" applyFont="1" applyFill="1" applyBorder="1" applyAlignment="1" applyProtection="1">
      <alignment horizontal="center" vertical="center"/>
      <protection hidden="1"/>
    </xf>
    <xf numFmtId="165" fontId="28" fillId="0" borderId="16" xfId="0" applyNumberFormat="1" applyFont="1" applyFill="1" applyBorder="1" applyAlignment="1" applyProtection="1">
      <alignment horizontal="center" vertical="center"/>
      <protection hidden="1"/>
    </xf>
    <xf numFmtId="49" fontId="28" fillId="0" borderId="11" xfId="0" applyNumberFormat="1" applyFont="1" applyFill="1" applyBorder="1" applyAlignment="1" applyProtection="1">
      <alignment vertical="center"/>
      <protection hidden="1"/>
    </xf>
    <xf numFmtId="2" fontId="28" fillId="0" borderId="1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1" xfId="0" applyNumberFormat="1" applyFont="1" applyFill="1" applyBorder="1" applyAlignment="1" applyProtection="1">
      <alignment vertical="center"/>
      <protection hidden="1"/>
    </xf>
    <xf numFmtId="49" fontId="29" fillId="0" borderId="7" xfId="0" applyNumberFormat="1" applyFont="1" applyFill="1" applyBorder="1" applyAlignment="1" applyProtection="1">
      <alignment horizontal="left" vertical="top" wrapText="1"/>
      <protection hidden="1"/>
    </xf>
    <xf numFmtId="164" fontId="29" fillId="0" borderId="38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37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6" xfId="0" applyFont="1" applyFill="1" applyBorder="1" applyAlignment="1">
      <alignment horizontal="center" vertical="center" wrapText="1"/>
    </xf>
    <xf numFmtId="165" fontId="28" fillId="0" borderId="16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 applyProtection="1">
      <alignment vertical="center" wrapText="1"/>
      <protection hidden="1"/>
    </xf>
    <xf numFmtId="49" fontId="28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19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19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" xfId="0" applyNumberFormat="1" applyFont="1" applyFill="1" applyBorder="1" applyAlignment="1" applyProtection="1">
      <alignment vertical="center" wrapText="1"/>
      <protection hidden="1"/>
    </xf>
    <xf numFmtId="0" fontId="28" fillId="0" borderId="5" xfId="0" applyFont="1" applyFill="1" applyBorder="1" applyAlignment="1">
      <alignment horizontal="left" vertical="center" wrapText="1"/>
    </xf>
    <xf numFmtId="49" fontId="28" fillId="0" borderId="2" xfId="0" applyNumberFormat="1" applyFont="1" applyFill="1" applyBorder="1" applyAlignment="1" applyProtection="1">
      <alignment horizontal="justify" vertical="center" wrapText="1"/>
      <protection hidden="1"/>
    </xf>
    <xf numFmtId="164" fontId="28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2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5" xfId="0" applyNumberFormat="1" applyFont="1" applyFill="1" applyBorder="1" applyAlignment="1" applyProtection="1">
      <alignment horizontal="justify" vertical="center" wrapText="1"/>
      <protection hidden="1"/>
    </xf>
    <xf numFmtId="12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2" xfId="0" applyFont="1" applyFill="1" applyBorder="1" applyAlignment="1">
      <alignment horizontal="left" vertical="center" wrapText="1"/>
    </xf>
    <xf numFmtId="49" fontId="29" fillId="0" borderId="4" xfId="0" applyNumberFormat="1" applyFont="1" applyFill="1" applyBorder="1" applyAlignment="1" applyProtection="1">
      <alignment vertical="center" wrapText="1"/>
      <protection hidden="1"/>
    </xf>
    <xf numFmtId="12" fontId="29" fillId="0" borderId="5" xfId="0" applyNumberFormat="1" applyFont="1" applyFill="1" applyBorder="1" applyAlignment="1" applyProtection="1">
      <alignment horizontal="justify" vertical="center" wrapText="1"/>
      <protection hidden="1"/>
    </xf>
    <xf numFmtId="12" fontId="29" fillId="0" borderId="7" xfId="0" applyNumberFormat="1" applyFont="1" applyFill="1" applyBorder="1" applyAlignment="1" applyProtection="1">
      <alignment horizontal="justify" vertical="center" wrapText="1"/>
      <protection hidden="1"/>
    </xf>
    <xf numFmtId="49" fontId="28" fillId="0" borderId="13" xfId="0" applyNumberFormat="1" applyFont="1" applyFill="1" applyBorder="1" applyAlignment="1" applyProtection="1">
      <alignment horizontal="center" vertical="center" wrapText="1"/>
      <protection hidden="1"/>
    </xf>
    <xf numFmtId="12" fontId="28" fillId="0" borderId="2" xfId="0" applyNumberFormat="1" applyFont="1" applyFill="1" applyBorder="1" applyAlignment="1" applyProtection="1">
      <alignment horizontal="justify" vertical="center" wrapText="1"/>
      <protection hidden="1"/>
    </xf>
    <xf numFmtId="165" fontId="28" fillId="0" borderId="8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0" applyNumberFormat="1" applyFont="1" applyFill="1" applyBorder="1" applyAlignment="1" applyProtection="1">
      <alignment horizontal="justify" vertical="center" wrapText="1"/>
      <protection hidden="1"/>
    </xf>
    <xf numFmtId="0" fontId="28" fillId="0" borderId="0" xfId="0" applyNumberFormat="1" applyFont="1" applyFill="1" applyBorder="1" applyAlignment="1" applyProtection="1">
      <alignment horizontal="center" vertical="center"/>
    </xf>
    <xf numFmtId="164" fontId="28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vertical="center"/>
    </xf>
    <xf numFmtId="49" fontId="28" fillId="0" borderId="12" xfId="0" applyNumberFormat="1" applyFont="1" applyFill="1" applyBorder="1" applyAlignment="1" applyProtection="1">
      <alignment vertical="center" wrapText="1"/>
      <protection hidden="1"/>
    </xf>
    <xf numFmtId="49" fontId="28" fillId="0" borderId="13" xfId="0" applyNumberFormat="1" applyFont="1" applyFill="1" applyBorder="1" applyAlignment="1" applyProtection="1">
      <alignment horizontal="justify" vertical="center" wrapText="1"/>
      <protection hidden="1"/>
    </xf>
    <xf numFmtId="164" fontId="28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20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2" applyNumberFormat="1" applyFont="1" applyFill="1" applyBorder="1" applyAlignment="1" applyProtection="1">
      <alignment horizontal="justify" vertical="center"/>
    </xf>
    <xf numFmtId="164" fontId="29" fillId="0" borderId="16" xfId="3" applyNumberFormat="1" applyFont="1" applyFill="1" applyBorder="1" applyAlignment="1" applyProtection="1">
      <alignment horizontal="center" vertical="center"/>
    </xf>
    <xf numFmtId="165" fontId="28" fillId="0" borderId="16" xfId="3" applyNumberFormat="1" applyFont="1" applyFill="1" applyBorder="1" applyAlignment="1" applyProtection="1">
      <alignment horizontal="center" vertical="center"/>
    </xf>
    <xf numFmtId="49" fontId="24" fillId="0" borderId="1" xfId="0" applyNumberFormat="1" applyFont="1" applyFill="1" applyBorder="1" applyAlignment="1" applyProtection="1">
      <alignment horizontal="center" vertical="center"/>
      <protection hidden="1"/>
    </xf>
    <xf numFmtId="49" fontId="24" fillId="0" borderId="2" xfId="0" applyNumberFormat="1" applyFont="1" applyFill="1" applyBorder="1" applyAlignment="1" applyProtection="1">
      <alignment horizontal="left" vertical="center"/>
      <protection hidden="1"/>
    </xf>
    <xf numFmtId="49" fontId="24" fillId="0" borderId="2" xfId="0" applyNumberFormat="1" applyFont="1" applyFill="1" applyBorder="1" applyAlignment="1" applyProtection="1">
      <alignment horizontal="center" vertical="center"/>
      <protection hidden="1"/>
    </xf>
    <xf numFmtId="164" fontId="24" fillId="0" borderId="19" xfId="0" applyNumberFormat="1" applyFont="1" applyFill="1" applyBorder="1" applyAlignment="1" applyProtection="1">
      <alignment horizontal="center" vertical="center"/>
      <protection hidden="1"/>
    </xf>
    <xf numFmtId="165" fontId="24" fillId="0" borderId="19" xfId="0" applyNumberFormat="1" applyFont="1" applyFill="1" applyBorder="1" applyAlignment="1" applyProtection="1">
      <alignment horizontal="center" vertical="center"/>
      <protection hidden="1"/>
    </xf>
    <xf numFmtId="49" fontId="29" fillId="3" borderId="7" xfId="0" applyNumberFormat="1" applyFont="1" applyFill="1" applyBorder="1" applyAlignment="1" applyProtection="1">
      <alignment horizontal="center" vertical="center" wrapText="1"/>
      <protection hidden="1"/>
    </xf>
    <xf numFmtId="49" fontId="29" fillId="3" borderId="7" xfId="0" applyNumberFormat="1" applyFont="1" applyFill="1" applyBorder="1" applyAlignment="1" applyProtection="1">
      <alignment horizontal="left" vertical="center" wrapText="1"/>
      <protection hidden="1"/>
    </xf>
    <xf numFmtId="165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7" xfId="3" applyNumberFormat="1" applyFont="1" applyFill="1" applyBorder="1" applyAlignment="1" applyProtection="1">
      <alignment horizontal="left" vertical="center"/>
    </xf>
    <xf numFmtId="0" fontId="21" fillId="0" borderId="7" xfId="3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horizontal="center" vertical="top"/>
    </xf>
    <xf numFmtId="49" fontId="29" fillId="0" borderId="4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26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center" vertical="top"/>
    </xf>
    <xf numFmtId="0" fontId="31" fillId="0" borderId="7" xfId="0" applyNumberFormat="1" applyFont="1" applyFill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4" fillId="0" borderId="7" xfId="0" applyNumberFormat="1" applyFont="1" applyFill="1" applyBorder="1" applyAlignment="1" applyProtection="1">
      <alignment horizontal="center" vertical="center"/>
      <protection hidden="1"/>
    </xf>
    <xf numFmtId="0" fontId="24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4" fillId="0" borderId="7" xfId="3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right" vertical="top"/>
    </xf>
    <xf numFmtId="0" fontId="20" fillId="0" borderId="0" xfId="0" applyNumberFormat="1" applyFont="1" applyFill="1" applyBorder="1" applyAlignment="1" applyProtection="1">
      <alignment horizontal="right" vertical="top" wrapText="1"/>
    </xf>
    <xf numFmtId="49" fontId="28" fillId="0" borderId="7" xfId="0" applyNumberFormat="1" applyFont="1" applyFill="1" applyBorder="1" applyAlignment="1" applyProtection="1">
      <alignment horizontal="center" wrapText="1"/>
      <protection hidden="1"/>
    </xf>
    <xf numFmtId="164" fontId="28" fillId="0" borderId="7" xfId="0" applyNumberFormat="1" applyFont="1" applyFill="1" applyBorder="1" applyAlignment="1" applyProtection="1">
      <alignment horizontal="center" wrapText="1"/>
      <protection hidden="1"/>
    </xf>
    <xf numFmtId="165" fontId="28" fillId="0" borderId="7" xfId="0" applyNumberFormat="1" applyFont="1" applyFill="1" applyBorder="1" applyAlignment="1" applyProtection="1">
      <alignment horizontal="center" wrapText="1"/>
      <protection hidden="1"/>
    </xf>
    <xf numFmtId="49" fontId="29" fillId="0" borderId="7" xfId="0" applyNumberFormat="1" applyFont="1" applyFill="1" applyBorder="1" applyAlignment="1" applyProtection="1">
      <alignment horizontal="center" wrapText="1"/>
      <protection hidden="1"/>
    </xf>
    <xf numFmtId="164" fontId="29" fillId="0" borderId="7" xfId="0" applyNumberFormat="1" applyFont="1" applyFill="1" applyBorder="1" applyAlignment="1" applyProtection="1">
      <alignment horizontal="center" wrapText="1"/>
      <protection hidden="1"/>
    </xf>
    <xf numFmtId="165" fontId="29" fillId="0" borderId="7" xfId="0" applyNumberFormat="1" applyFont="1" applyFill="1" applyBorder="1" applyAlignment="1" applyProtection="1">
      <alignment horizontal="center" wrapText="1"/>
      <protection hidden="1"/>
    </xf>
    <xf numFmtId="2" fontId="29" fillId="0" borderId="7" xfId="0" applyNumberFormat="1" applyFont="1" applyFill="1" applyBorder="1" applyAlignment="1" applyProtection="1">
      <alignment horizontal="center" wrapText="1"/>
      <protection hidden="1"/>
    </xf>
    <xf numFmtId="0" fontId="29" fillId="0" borderId="7" xfId="0" applyNumberFormat="1" applyFont="1" applyFill="1" applyBorder="1" applyAlignment="1" applyProtection="1">
      <alignment horizontal="center"/>
    </xf>
    <xf numFmtId="164" fontId="29" fillId="0" borderId="7" xfId="0" applyNumberFormat="1" applyFont="1" applyFill="1" applyBorder="1" applyAlignment="1" applyProtection="1">
      <alignment horizontal="center"/>
    </xf>
    <xf numFmtId="0" fontId="29" fillId="0" borderId="7" xfId="0" applyNumberFormat="1" applyFont="1" applyFill="1" applyBorder="1" applyAlignment="1" applyProtection="1"/>
    <xf numFmtId="0" fontId="24" fillId="0" borderId="7" xfId="0" applyNumberFormat="1" applyFont="1" applyFill="1" applyBorder="1" applyAlignment="1" applyProtection="1">
      <alignment horizontal="center" wrapText="1"/>
      <protection hidden="1"/>
    </xf>
    <xf numFmtId="164" fontId="24" fillId="0" borderId="7" xfId="0" applyNumberFormat="1" applyFont="1" applyFill="1" applyBorder="1" applyAlignment="1" applyProtection="1">
      <alignment horizontal="center" wrapText="1"/>
      <protection hidden="1"/>
    </xf>
    <xf numFmtId="164" fontId="24" fillId="0" borderId="7" xfId="3" applyNumberFormat="1" applyFont="1" applyFill="1" applyBorder="1" applyAlignment="1" applyProtection="1">
      <alignment horizontal="center" wrapText="1"/>
    </xf>
    <xf numFmtId="49" fontId="24" fillId="0" borderId="2" xfId="0" applyNumberFormat="1" applyFont="1" applyFill="1" applyBorder="1" applyAlignment="1" applyProtection="1">
      <alignment horizontal="left"/>
      <protection hidden="1"/>
    </xf>
    <xf numFmtId="49" fontId="24" fillId="0" borderId="2" xfId="0" applyNumberFormat="1" applyFont="1" applyFill="1" applyBorder="1" applyAlignment="1" applyProtection="1">
      <alignment horizontal="center"/>
      <protection hidden="1"/>
    </xf>
    <xf numFmtId="0" fontId="20" fillId="0" borderId="34" xfId="0" applyNumberFormat="1" applyFont="1" applyFill="1" applyBorder="1" applyAlignment="1" applyProtection="1">
      <alignment horizontal="center"/>
    </xf>
    <xf numFmtId="164" fontId="20" fillId="0" borderId="34" xfId="0" applyNumberFormat="1" applyFont="1" applyFill="1" applyBorder="1" applyAlignment="1" applyProtection="1">
      <alignment horizontal="center"/>
    </xf>
    <xf numFmtId="0" fontId="20" fillId="0" borderId="34" xfId="0" applyNumberFormat="1" applyFont="1" applyFill="1" applyBorder="1" applyAlignment="1" applyProtection="1"/>
    <xf numFmtId="164" fontId="24" fillId="0" borderId="19" xfId="0" applyNumberFormat="1" applyFont="1" applyFill="1" applyBorder="1" applyAlignment="1" applyProtection="1">
      <alignment horizontal="center"/>
      <protection hidden="1"/>
    </xf>
    <xf numFmtId="165" fontId="24" fillId="0" borderId="19" xfId="0" applyNumberFormat="1" applyFont="1" applyFill="1" applyBorder="1" applyAlignment="1" applyProtection="1">
      <alignment horizontal="center"/>
      <protection hidden="1"/>
    </xf>
    <xf numFmtId="0" fontId="0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vertical="center" wrapText="1"/>
    </xf>
    <xf numFmtId="0" fontId="25" fillId="0" borderId="0" xfId="0" applyNumberFormat="1" applyFont="1" applyFill="1" applyBorder="1" applyAlignment="1" applyProtection="1">
      <alignment vertical="top" wrapText="1"/>
    </xf>
    <xf numFmtId="0" fontId="20" fillId="0" borderId="0" xfId="0" applyNumberFormat="1" applyFont="1" applyFill="1" applyBorder="1" applyAlignment="1" applyProtection="1">
      <alignment vertical="top" wrapText="1"/>
    </xf>
    <xf numFmtId="0" fontId="35" fillId="0" borderId="7" xfId="0" applyNumberFormat="1" applyFont="1" applyFill="1" applyBorder="1" applyAlignment="1" applyProtection="1">
      <alignment horizontal="center" vertical="center"/>
    </xf>
    <xf numFmtId="0" fontId="35" fillId="0" borderId="7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horizontal="center" vertical="top"/>
      <protection locked="0"/>
    </xf>
    <xf numFmtId="0" fontId="23" fillId="0" borderId="0" xfId="0" applyNumberFormat="1" applyFont="1" applyFill="1" applyBorder="1" applyAlignment="1" applyProtection="1">
      <alignment vertical="top"/>
      <protection locked="0"/>
    </xf>
    <xf numFmtId="0" fontId="20" fillId="0" borderId="0" xfId="2" applyNumberFormat="1" applyFont="1" applyFill="1" applyBorder="1" applyAlignment="1" applyProtection="1">
      <alignment horizontal="right" vertical="top"/>
      <protection locked="0"/>
    </xf>
    <xf numFmtId="0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21" fillId="0" borderId="7" xfId="3" applyNumberFormat="1" applyFont="1" applyFill="1" applyBorder="1" applyAlignment="1" applyProtection="1">
      <alignment horizontal="center" vertical="center"/>
      <protection locked="0"/>
    </xf>
    <xf numFmtId="164" fontId="21" fillId="0" borderId="7" xfId="3" applyNumberFormat="1" applyFont="1" applyFill="1" applyBorder="1" applyAlignment="1" applyProtection="1">
      <alignment horizontal="center" vertical="center" wrapText="1"/>
      <protection locked="0"/>
    </xf>
    <xf numFmtId="164" fontId="24" fillId="0" borderId="27" xfId="3" applyNumberFormat="1" applyFont="1" applyFill="1" applyBorder="1" applyAlignment="1" applyProtection="1">
      <alignment horizontal="center" vertical="center" wrapText="1"/>
      <protection locked="0"/>
    </xf>
    <xf numFmtId="164" fontId="24" fillId="0" borderId="29" xfId="3" applyNumberFormat="1" applyFont="1" applyFill="1" applyBorder="1" applyAlignment="1" applyProtection="1">
      <alignment horizontal="center" vertical="center" wrapText="1"/>
      <protection locked="0"/>
    </xf>
    <xf numFmtId="0" fontId="21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7" xfId="3" applyNumberFormat="1" applyFont="1" applyFill="1" applyBorder="1" applyAlignment="1" applyProtection="1">
      <alignment horizontal="center" vertical="center"/>
      <protection locked="0"/>
    </xf>
    <xf numFmtId="0" fontId="21" fillId="0" borderId="7" xfId="3" applyNumberFormat="1" applyFont="1" applyFill="1" applyBorder="1" applyAlignment="1" applyProtection="1">
      <alignment horizontal="left" vertical="center"/>
      <protection locked="0"/>
    </xf>
    <xf numFmtId="164" fontId="21" fillId="0" borderId="7" xfId="3" applyNumberFormat="1" applyFont="1" applyFill="1" applyBorder="1" applyAlignment="1" applyProtection="1">
      <alignment horizontal="center" vertical="center"/>
      <protection locked="0"/>
    </xf>
    <xf numFmtId="165" fontId="21" fillId="0" borderId="7" xfId="3" applyNumberFormat="1" applyFont="1" applyFill="1" applyBorder="1" applyAlignment="1" applyProtection="1">
      <alignment horizontal="center" vertical="center"/>
      <protection locked="0"/>
    </xf>
    <xf numFmtId="164" fontId="22" fillId="9" borderId="27" xfId="3" applyNumberFormat="1" applyFont="1" applyFill="1" applyBorder="1" applyAlignment="1" applyProtection="1">
      <alignment horizontal="center" vertical="center"/>
      <protection locked="0"/>
    </xf>
    <xf numFmtId="164" fontId="22" fillId="9" borderId="29" xfId="3" applyNumberFormat="1" applyFont="1" applyFill="1" applyBorder="1" applyAlignment="1" applyProtection="1">
      <alignment horizontal="center" vertical="center"/>
      <protection locked="0"/>
    </xf>
    <xf numFmtId="165" fontId="21" fillId="9" borderId="7" xfId="0" applyNumberFormat="1" applyFont="1" applyFill="1" applyBorder="1" applyAlignment="1" applyProtection="1">
      <alignment horizontal="center" vertical="center"/>
      <protection locked="0"/>
    </xf>
    <xf numFmtId="0" fontId="21" fillId="0" borderId="7" xfId="3" applyNumberFormat="1" applyFont="1" applyFill="1" applyBorder="1" applyAlignment="1" applyProtection="1">
      <alignment horizontal="left" vertical="center" wrapText="1"/>
      <protection locked="0"/>
    </xf>
    <xf numFmtId="164" fontId="22" fillId="7" borderId="25" xfId="3" applyNumberFormat="1" applyFont="1" applyFill="1" applyBorder="1" applyAlignment="1" applyProtection="1">
      <alignment horizontal="center" vertical="center"/>
      <protection locked="0"/>
    </xf>
    <xf numFmtId="164" fontId="22" fillId="7" borderId="42" xfId="3" applyNumberFormat="1" applyFont="1" applyFill="1" applyBorder="1" applyAlignment="1" applyProtection="1">
      <alignment horizontal="center" vertical="center"/>
      <protection locked="0"/>
    </xf>
    <xf numFmtId="165" fontId="21" fillId="7" borderId="7" xfId="0" applyNumberFormat="1" applyFont="1" applyFill="1" applyBorder="1" applyAlignment="1" applyProtection="1">
      <alignment horizontal="center" vertical="center"/>
      <protection locked="0"/>
    </xf>
    <xf numFmtId="164" fontId="20" fillId="0" borderId="0" xfId="3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0" fontId="0" fillId="0" borderId="0" xfId="0" applyNumberFormat="1" applyFill="1" applyBorder="1" applyAlignment="1" applyProtection="1">
      <alignment horizontal="right" vertical="top"/>
    </xf>
    <xf numFmtId="0" fontId="0" fillId="0" borderId="7" xfId="0" applyNumberFormat="1" applyFont="1" applyFill="1" applyBorder="1" applyAlignment="1" applyProtection="1">
      <alignment horizontal="center" vertical="center"/>
    </xf>
    <xf numFmtId="3" fontId="31" fillId="0" borderId="7" xfId="3" applyNumberFormat="1" applyFont="1" applyFill="1" applyBorder="1" applyAlignment="1" applyProtection="1">
      <alignment horizontal="center" vertical="center"/>
    </xf>
    <xf numFmtId="0" fontId="31" fillId="0" borderId="7" xfId="3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right" vertical="top"/>
      <protection locked="0"/>
    </xf>
    <xf numFmtId="49" fontId="28" fillId="0" borderId="47" xfId="0" applyNumberFormat="1" applyFont="1" applyFill="1" applyBorder="1" applyAlignment="1" applyProtection="1">
      <alignment vertical="center" wrapText="1"/>
      <protection hidden="1"/>
    </xf>
    <xf numFmtId="49" fontId="28" fillId="0" borderId="48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48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49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49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0" applyNumberFormat="1" applyFont="1" applyFill="1" applyBorder="1" applyAlignment="1" applyProtection="1">
      <alignment vertical="center" wrapText="1"/>
      <protection hidden="1"/>
    </xf>
    <xf numFmtId="49" fontId="29" fillId="0" borderId="7" xfId="0" applyNumberFormat="1" applyFont="1" applyFill="1" applyBorder="1" applyAlignment="1" applyProtection="1">
      <alignment vertical="center" wrapText="1"/>
      <protection hidden="1"/>
    </xf>
    <xf numFmtId="165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21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right" vertical="top"/>
      <protection locked="0"/>
    </xf>
    <xf numFmtId="49" fontId="28" fillId="0" borderId="11" xfId="7" applyNumberFormat="1" applyFont="1" applyFill="1" applyBorder="1" applyAlignment="1" applyProtection="1">
      <alignment vertical="center"/>
    </xf>
    <xf numFmtId="49" fontId="28" fillId="0" borderId="7" xfId="7" applyNumberFormat="1" applyFont="1" applyFill="1" applyBorder="1" applyAlignment="1" applyProtection="1">
      <alignment horizontal="justify" vertical="center" wrapText="1"/>
    </xf>
    <xf numFmtId="49" fontId="28" fillId="0" borderId="7" xfId="7" applyNumberFormat="1" applyFont="1" applyFill="1" applyBorder="1" applyAlignment="1" applyProtection="1">
      <alignment horizontal="center" vertical="center" wrapText="1"/>
    </xf>
    <xf numFmtId="49" fontId="28" fillId="0" borderId="7" xfId="7" applyNumberFormat="1" applyFont="1" applyFill="1" applyBorder="1" applyAlignment="1" applyProtection="1">
      <alignment horizontal="center" vertical="center"/>
    </xf>
    <xf numFmtId="49" fontId="29" fillId="0" borderId="11" xfId="7" applyNumberFormat="1" applyFont="1" applyFill="1" applyBorder="1" applyAlignment="1" applyProtection="1">
      <alignment vertical="center"/>
    </xf>
    <xf numFmtId="49" fontId="29" fillId="0" borderId="7" xfId="7" applyNumberFormat="1" applyFont="1" applyFill="1" applyBorder="1" applyAlignment="1" applyProtection="1">
      <alignment horizontal="justify" vertical="center" wrapText="1"/>
    </xf>
    <xf numFmtId="49" fontId="29" fillId="0" borderId="13" xfId="7" applyNumberFormat="1" applyFont="1" applyFill="1" applyBorder="1" applyAlignment="1" applyProtection="1">
      <alignment horizontal="center" vertical="center" wrapText="1"/>
    </xf>
    <xf numFmtId="49" fontId="29" fillId="0" borderId="13" xfId="7" applyNumberFormat="1" applyFont="1" applyFill="1" applyBorder="1" applyAlignment="1" applyProtection="1">
      <alignment horizontal="center" vertical="center"/>
    </xf>
    <xf numFmtId="49" fontId="29" fillId="0" borderId="7" xfId="7" applyNumberFormat="1" applyFont="1" applyFill="1" applyBorder="1" applyAlignment="1" applyProtection="1">
      <alignment horizontal="center" vertical="center"/>
    </xf>
    <xf numFmtId="164" fontId="29" fillId="0" borderId="50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50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7" xfId="0" applyNumberFormat="1" applyFont="1" applyFill="1" applyBorder="1" applyAlignment="1" applyProtection="1">
      <alignment vertical="top"/>
    </xf>
    <xf numFmtId="0" fontId="20" fillId="0" borderId="7" xfId="0" applyNumberFormat="1" applyFont="1" applyFill="1" applyBorder="1" applyAlignment="1" applyProtection="1">
      <alignment horizontal="center" vertical="center"/>
    </xf>
    <xf numFmtId="49" fontId="28" fillId="0" borderId="15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5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1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1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52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52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5" xfId="2" applyNumberFormat="1" applyFont="1" applyFill="1" applyBorder="1" applyAlignment="1" applyProtection="1">
      <alignment horizontal="justify" vertical="center"/>
    </xf>
    <xf numFmtId="49" fontId="28" fillId="0" borderId="5" xfId="2" applyNumberFormat="1" applyFont="1" applyFill="1" applyBorder="1" applyAlignment="1" applyProtection="1">
      <alignment horizontal="center" vertical="center"/>
    </xf>
    <xf numFmtId="0" fontId="29" fillId="0" borderId="7" xfId="0" applyNumberFormat="1" applyFont="1" applyFill="1" applyBorder="1" applyAlignment="1" applyProtection="1">
      <alignment horizontal="center" vertical="center"/>
    </xf>
    <xf numFmtId="164" fontId="29" fillId="0" borderId="7" xfId="0" applyNumberFormat="1" applyFont="1" applyFill="1" applyBorder="1" applyAlignment="1" applyProtection="1">
      <alignment horizontal="center" vertical="center"/>
    </xf>
    <xf numFmtId="0" fontId="29" fillId="0" borderId="7" xfId="0" applyNumberFormat="1" applyFont="1" applyFill="1" applyBorder="1" applyAlignment="1" applyProtection="1">
      <alignment vertical="center"/>
    </xf>
    <xf numFmtId="0" fontId="10" fillId="0" borderId="0" xfId="5" applyNumberFormat="1" applyFill="1" applyBorder="1" applyAlignment="1" applyProtection="1">
      <alignment horizontal="center" vertical="top"/>
    </xf>
    <xf numFmtId="0" fontId="10" fillId="0" borderId="0" xfId="5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44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2" fillId="0" borderId="0" xfId="0" applyNumberFormat="1" applyFont="1" applyFill="1" applyBorder="1" applyAlignment="1" applyProtection="1">
      <alignment horizontal="right" vertical="top"/>
      <protection locked="0"/>
    </xf>
    <xf numFmtId="0" fontId="20" fillId="0" borderId="0" xfId="0" applyNumberFormat="1" applyFont="1" applyFill="1" applyBorder="1" applyAlignment="1" applyProtection="1">
      <alignment horizontal="right" vertical="top"/>
      <protection locked="0"/>
    </xf>
    <xf numFmtId="0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NumberFormat="1" applyFont="1" applyFill="1" applyBorder="1" applyAlignment="1" applyProtection="1">
      <alignment horizontal="right" vertical="top"/>
    </xf>
    <xf numFmtId="0" fontId="2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7" xfId="0" applyNumberFormat="1" applyFont="1" applyFill="1" applyBorder="1" applyAlignment="1" applyProtection="1">
      <alignment vertical="center" wrapText="1"/>
    </xf>
    <xf numFmtId="0" fontId="24" fillId="0" borderId="7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>
      <alignment horizontal="right" vertical="top"/>
    </xf>
    <xf numFmtId="0" fontId="23" fillId="0" borderId="0" xfId="0" applyNumberFormat="1" applyFont="1" applyFill="1" applyBorder="1" applyAlignment="1" applyProtection="1">
      <alignment vertical="top" wrapText="1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1" fillId="0" borderId="7" xfId="0" applyNumberFormat="1" applyFont="1" applyFill="1" applyBorder="1" applyAlignment="1" applyProtection="1">
      <alignment horizontal="center" vertical="center" wrapText="1"/>
    </xf>
    <xf numFmtId="0" fontId="31" fillId="0" borderId="7" xfId="0" applyNumberFormat="1" applyFont="1" applyFill="1" applyBorder="1" applyAlignment="1" applyProtection="1">
      <alignment horizontal="left" vertical="center" wrapText="1"/>
    </xf>
    <xf numFmtId="0" fontId="31" fillId="0" borderId="7" xfId="0" applyNumberFormat="1" applyFont="1" applyFill="1" applyBorder="1" applyAlignment="1" applyProtection="1">
      <alignment horizontal="center" vertical="top" wrapText="1"/>
    </xf>
    <xf numFmtId="49" fontId="31" fillId="0" borderId="0" xfId="4" applyNumberFormat="1" applyFont="1" applyFill="1" applyBorder="1" applyAlignment="1" applyProtection="1">
      <alignment horizontal="left" vertical="center"/>
    </xf>
    <xf numFmtId="0" fontId="33" fillId="0" borderId="0" xfId="4" applyFont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2 2" xfId="2"/>
    <cellStyle name="Обычный 2 2 2" xfId="7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7;&#1088;&#1086;&#1077;&#1082;&#1090;%20%202012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5;&#1086;&#1087;&#1088;&#1072;&#1074;&#1082;&#1080;%20&#1080;&#1102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Р."/>
      <sheetName val="доходы"/>
      <sheetName val="доходы проект"/>
      <sheetName val="роспись"/>
      <sheetName val="ведомст.структ"/>
      <sheetName val="СРП(Д)"/>
      <sheetName val="прилож 4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9">
          <cell r="I79">
            <v>20086.600000000002</v>
          </cell>
          <cell r="J79">
            <v>30141.100000000002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Р."/>
      <sheetName val="доходы"/>
      <sheetName val="доходы июль"/>
      <sheetName val="роспись"/>
      <sheetName val="ведомст.структ"/>
      <sheetName val="СРП(Д)"/>
      <sheetName val="прилож 4"/>
    </sheetNames>
    <sheetDataSet>
      <sheetData sheetId="0" refreshError="1"/>
      <sheetData sheetId="1" refreshError="1"/>
      <sheetData sheetId="2" refreshError="1"/>
      <sheetData sheetId="3" refreshError="1">
        <row r="10">
          <cell r="H10">
            <v>753.2</v>
          </cell>
        </row>
        <row r="22">
          <cell r="H22">
            <v>8080.0000000000009</v>
          </cell>
        </row>
        <row r="37">
          <cell r="H37">
            <v>12.7</v>
          </cell>
        </row>
        <row r="48">
          <cell r="H48">
            <v>60</v>
          </cell>
        </row>
        <row r="63">
          <cell r="H63">
            <v>5320</v>
          </cell>
        </row>
        <row r="68">
          <cell r="H68">
            <v>668</v>
          </cell>
        </row>
        <row r="70">
          <cell r="H70">
            <v>796</v>
          </cell>
        </row>
        <row r="75">
          <cell r="H75">
            <v>204</v>
          </cell>
        </row>
        <row r="79">
          <cell r="H79">
            <v>1077.7</v>
          </cell>
        </row>
        <row r="84">
          <cell r="H84">
            <v>552.70000000000005</v>
          </cell>
        </row>
        <row r="96">
          <cell r="H96">
            <v>228.1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72"/>
  <sheetViews>
    <sheetView view="pageBreakPreview" zoomScale="115" zoomScaleSheetLayoutView="115" workbookViewId="0">
      <selection activeCell="C17" sqref="C17"/>
    </sheetView>
  </sheetViews>
  <sheetFormatPr defaultColWidth="8.7109375" defaultRowHeight="12.75" x14ac:dyDescent="0.2"/>
  <cols>
    <col min="1" max="1" width="17" style="13" customWidth="1"/>
    <col min="2" max="2" width="10.140625" style="13" customWidth="1"/>
    <col min="3" max="3" width="10.140625" style="13" bestFit="1" customWidth="1"/>
    <col min="4" max="4" width="9.140625" style="15" bestFit="1" customWidth="1"/>
    <col min="5" max="5" width="5.140625" style="14" bestFit="1" customWidth="1"/>
    <col min="6" max="6" width="6.85546875" style="14" bestFit="1" customWidth="1"/>
    <col min="7" max="7" width="8.5703125" style="13" customWidth="1"/>
    <col min="8" max="8" width="15.7109375" style="12" customWidth="1"/>
    <col min="9" max="9" width="13.140625" style="11" bestFit="1" customWidth="1"/>
    <col min="10" max="10" width="13.5703125" style="11" bestFit="1" customWidth="1"/>
    <col min="11" max="16384" width="8.7109375" style="11"/>
  </cols>
  <sheetData>
    <row r="1" spans="1:10" x14ac:dyDescent="0.2">
      <c r="A1" s="30" t="s">
        <v>136</v>
      </c>
      <c r="F1" s="523"/>
      <c r="G1" s="524"/>
      <c r="H1" s="524"/>
    </row>
    <row r="2" spans="1:10" ht="13.5" thickBot="1" x14ac:dyDescent="0.25">
      <c r="A2" s="30"/>
      <c r="F2" s="74"/>
      <c r="G2" s="29"/>
      <c r="H2" s="29"/>
    </row>
    <row r="3" spans="1:10" ht="13.5" thickBot="1" x14ac:dyDescent="0.25">
      <c r="A3" s="71" t="s">
        <v>126</v>
      </c>
      <c r="B3" s="71" t="s">
        <v>125</v>
      </c>
      <c r="C3" s="71" t="s">
        <v>124</v>
      </c>
      <c r="D3" s="73" t="s">
        <v>123</v>
      </c>
      <c r="E3" s="72" t="s">
        <v>122</v>
      </c>
      <c r="F3" s="72" t="s">
        <v>121</v>
      </c>
      <c r="G3" s="71" t="s">
        <v>120</v>
      </c>
      <c r="H3" s="70" t="s">
        <v>91</v>
      </c>
    </row>
    <row r="4" spans="1:10" x14ac:dyDescent="0.2">
      <c r="A4" s="69" t="s">
        <v>128</v>
      </c>
      <c r="B4" s="57">
        <v>1</v>
      </c>
      <c r="C4" s="57">
        <v>24</v>
      </c>
      <c r="D4" s="59">
        <v>870</v>
      </c>
      <c r="E4" s="58"/>
      <c r="F4" s="58">
        <v>0.1</v>
      </c>
      <c r="G4" s="57">
        <v>12</v>
      </c>
      <c r="H4" s="56">
        <f>B4*(2+E4+F4)*(C4*D4)*G4</f>
        <v>526176</v>
      </c>
      <c r="I4" s="16"/>
    </row>
    <row r="5" spans="1:10" x14ac:dyDescent="0.2">
      <c r="A5" s="68" t="s">
        <v>128</v>
      </c>
      <c r="B5" s="55"/>
      <c r="C5" s="52"/>
      <c r="D5" s="54">
        <v>0.26200000000000001</v>
      </c>
      <c r="E5" s="33"/>
      <c r="F5" s="33"/>
      <c r="G5" s="20">
        <v>12</v>
      </c>
      <c r="H5" s="53">
        <f>H4*D5</f>
        <v>137858.11199999999</v>
      </c>
      <c r="I5" s="16"/>
      <c r="J5" s="18">
        <f>H4+H5</f>
        <v>664034.11199999996</v>
      </c>
    </row>
    <row r="6" spans="1:10" x14ac:dyDescent="0.2">
      <c r="A6" s="28" t="s">
        <v>127</v>
      </c>
      <c r="B6" s="20">
        <v>1</v>
      </c>
      <c r="C6" s="52">
        <v>18</v>
      </c>
      <c r="D6" s="22">
        <v>870</v>
      </c>
      <c r="E6" s="33">
        <v>0.1</v>
      </c>
      <c r="F6" s="33">
        <v>0.1</v>
      </c>
      <c r="G6" s="20">
        <v>12</v>
      </c>
      <c r="H6" s="50">
        <f>B6*(2+E6+F6)*(C6*D6)*G6</f>
        <v>413424</v>
      </c>
      <c r="I6" s="16"/>
      <c r="J6" s="16"/>
    </row>
    <row r="7" spans="1:10" x14ac:dyDescent="0.2">
      <c r="A7" s="23" t="s">
        <v>133</v>
      </c>
      <c r="B7" s="20">
        <v>1</v>
      </c>
      <c r="C7" s="52">
        <v>18</v>
      </c>
      <c r="D7" s="22">
        <v>870</v>
      </c>
      <c r="E7" s="33">
        <v>0.1</v>
      </c>
      <c r="F7" s="33">
        <v>0.1</v>
      </c>
      <c r="G7" s="20">
        <v>12</v>
      </c>
      <c r="H7" s="50">
        <f>B7*(2+E7+F7)*(C7*D7)*G7</f>
        <v>413424</v>
      </c>
      <c r="I7" s="16"/>
      <c r="J7" s="16"/>
    </row>
    <row r="8" spans="1:10" x14ac:dyDescent="0.2">
      <c r="A8" s="46" t="s">
        <v>113</v>
      </c>
      <c r="B8" s="42">
        <v>1</v>
      </c>
      <c r="C8" s="45">
        <v>12</v>
      </c>
      <c r="D8" s="22">
        <v>870</v>
      </c>
      <c r="E8" s="43"/>
      <c r="F8" s="43">
        <v>0.1</v>
      </c>
      <c r="G8" s="20">
        <v>12</v>
      </c>
      <c r="H8" s="50">
        <f>B8*(2+E8+F8)*(C8*D8)*G8</f>
        <v>263088</v>
      </c>
      <c r="I8" s="16"/>
    </row>
    <row r="9" spans="1:10" x14ac:dyDescent="0.2">
      <c r="A9" s="23" t="s">
        <v>134</v>
      </c>
      <c r="B9" s="20">
        <f>SUM(B6:B8)</f>
        <v>3</v>
      </c>
      <c r="C9" s="52"/>
      <c r="D9" s="22"/>
      <c r="E9" s="33"/>
      <c r="F9" s="33"/>
      <c r="G9" s="20"/>
      <c r="H9" s="50">
        <f>SUM(H6:H8)</f>
        <v>1089936</v>
      </c>
      <c r="I9" s="16"/>
      <c r="J9" s="16"/>
    </row>
    <row r="10" spans="1:10" ht="13.5" thickBot="1" x14ac:dyDescent="0.25">
      <c r="A10" s="23" t="s">
        <v>134</v>
      </c>
      <c r="B10" s="40"/>
      <c r="C10" s="39"/>
      <c r="D10" s="38">
        <v>0.26200000000000001</v>
      </c>
      <c r="E10" s="37"/>
      <c r="F10" s="37"/>
      <c r="G10" s="36"/>
      <c r="H10" s="35">
        <f>H9*D10</f>
        <v>285563.23200000002</v>
      </c>
      <c r="I10" s="16"/>
      <c r="J10" s="18">
        <f>H9+H10</f>
        <v>1375499.2320000001</v>
      </c>
    </row>
    <row r="11" spans="1:10" x14ac:dyDescent="0.2">
      <c r="A11" s="28"/>
      <c r="B11" s="20"/>
      <c r="C11" s="52"/>
      <c r="D11" s="22"/>
      <c r="E11" s="33"/>
      <c r="F11" s="33"/>
      <c r="G11" s="20"/>
      <c r="H11" s="50"/>
      <c r="I11" s="16"/>
      <c r="J11" s="16"/>
    </row>
    <row r="12" spans="1:10" ht="13.5" thickBot="1" x14ac:dyDescent="0.25">
      <c r="A12" s="67"/>
      <c r="B12" s="40"/>
      <c r="C12" s="39"/>
      <c r="D12" s="38"/>
      <c r="E12" s="37"/>
      <c r="F12" s="37"/>
      <c r="G12" s="36"/>
      <c r="H12" s="35"/>
      <c r="I12" s="16"/>
      <c r="J12" s="18"/>
    </row>
    <row r="13" spans="1:10" ht="13.5" thickBot="1" x14ac:dyDescent="0.25">
      <c r="B13" s="29"/>
      <c r="C13" s="66"/>
      <c r="E13" s="34"/>
      <c r="F13" s="34"/>
      <c r="G13" s="29"/>
      <c r="I13" s="16"/>
    </row>
    <row r="14" spans="1:10" ht="13.5" thickBot="1" x14ac:dyDescent="0.25">
      <c r="A14" s="65" t="s">
        <v>126</v>
      </c>
      <c r="B14" s="65" t="s">
        <v>125</v>
      </c>
      <c r="C14" s="65" t="s">
        <v>124</v>
      </c>
      <c r="D14" s="64" t="s">
        <v>123</v>
      </c>
      <c r="E14" s="63" t="s">
        <v>122</v>
      </c>
      <c r="F14" s="63" t="s">
        <v>121</v>
      </c>
      <c r="G14" s="62" t="s">
        <v>120</v>
      </c>
      <c r="H14" s="61" t="s">
        <v>91</v>
      </c>
      <c r="I14" s="16"/>
    </row>
    <row r="15" spans="1:10" x14ac:dyDescent="0.2">
      <c r="A15" s="60" t="s">
        <v>119</v>
      </c>
      <c r="B15" s="57">
        <v>1</v>
      </c>
      <c r="C15" s="57">
        <v>24</v>
      </c>
      <c r="D15" s="59">
        <v>870</v>
      </c>
      <c r="E15" s="58">
        <v>0.2</v>
      </c>
      <c r="F15" s="58">
        <v>0.25</v>
      </c>
      <c r="G15" s="57">
        <v>12</v>
      </c>
      <c r="H15" s="56">
        <f>(B15*2+E15+F15)*(C15*D15)*G15</f>
        <v>613872.00000000012</v>
      </c>
      <c r="I15" s="16"/>
    </row>
    <row r="16" spans="1:10" ht="15.75" thickBot="1" x14ac:dyDescent="0.25">
      <c r="A16" s="40" t="s">
        <v>119</v>
      </c>
      <c r="B16" s="40"/>
      <c r="C16" s="39"/>
      <c r="D16" s="38">
        <v>0.26200000000000001</v>
      </c>
      <c r="E16" s="37"/>
      <c r="F16" s="37"/>
      <c r="G16" s="36">
        <v>12</v>
      </c>
      <c r="H16" s="78">
        <f>H15*D16</f>
        <v>160834.46400000004</v>
      </c>
      <c r="I16" s="16"/>
      <c r="J16" s="18">
        <f>H16+H15</f>
        <v>774706.46400000015</v>
      </c>
    </row>
    <row r="17" spans="1:10" ht="15" x14ac:dyDescent="0.2">
      <c r="A17" s="74"/>
      <c r="B17" s="87"/>
      <c r="C17" s="81"/>
      <c r="D17" s="88"/>
      <c r="E17" s="83"/>
      <c r="F17" s="83"/>
      <c r="G17" s="84"/>
      <c r="H17" s="89"/>
      <c r="I17" s="16"/>
      <c r="J17" s="18"/>
    </row>
    <row r="18" spans="1:10" x14ac:dyDescent="0.2">
      <c r="A18" s="30" t="s">
        <v>118</v>
      </c>
      <c r="B18" s="57">
        <v>1</v>
      </c>
      <c r="C18" s="77">
        <v>20</v>
      </c>
      <c r="D18" s="59">
        <v>870</v>
      </c>
      <c r="E18" s="58">
        <v>0.2</v>
      </c>
      <c r="F18" s="58">
        <v>0.15</v>
      </c>
      <c r="G18" s="57">
        <v>12</v>
      </c>
      <c r="H18" s="56">
        <f t="shared" ref="H18:H24" si="0">B18*(2+E18+F18)*(C18*D18)*G18</f>
        <v>490680</v>
      </c>
      <c r="I18" s="16"/>
    </row>
    <row r="19" spans="1:10" x14ac:dyDescent="0.2">
      <c r="A19" s="28" t="s">
        <v>117</v>
      </c>
      <c r="B19" s="42">
        <v>1</v>
      </c>
      <c r="C19" s="45">
        <v>20</v>
      </c>
      <c r="D19" s="44">
        <v>870</v>
      </c>
      <c r="E19" s="43">
        <v>0.2</v>
      </c>
      <c r="F19" s="43">
        <v>0.1</v>
      </c>
      <c r="G19" s="20">
        <v>12</v>
      </c>
      <c r="H19" s="50">
        <f>B19*(2+E19+F19)*(C19*D19)*G19</f>
        <v>480240.00000000012</v>
      </c>
      <c r="I19" s="16"/>
    </row>
    <row r="20" spans="1:10" x14ac:dyDescent="0.2">
      <c r="A20" s="46" t="s">
        <v>116</v>
      </c>
      <c r="B20" s="42">
        <v>1</v>
      </c>
      <c r="C20" s="45">
        <v>18</v>
      </c>
      <c r="D20" s="44">
        <v>870</v>
      </c>
      <c r="E20" s="43">
        <v>0.2</v>
      </c>
      <c r="F20" s="43">
        <v>0.1</v>
      </c>
      <c r="G20" s="20">
        <v>12</v>
      </c>
      <c r="H20" s="50">
        <f t="shared" si="0"/>
        <v>432216.00000000012</v>
      </c>
      <c r="I20" s="16"/>
      <c r="J20" s="16"/>
    </row>
    <row r="21" spans="1:10" x14ac:dyDescent="0.2">
      <c r="A21" s="46" t="s">
        <v>116</v>
      </c>
      <c r="B21" s="42">
        <v>1</v>
      </c>
      <c r="C21" s="45">
        <v>18</v>
      </c>
      <c r="D21" s="44">
        <v>870</v>
      </c>
      <c r="E21" s="43">
        <v>0.2</v>
      </c>
      <c r="F21" s="43">
        <v>0.15</v>
      </c>
      <c r="G21" s="20">
        <v>12</v>
      </c>
      <c r="H21" s="50">
        <f>B21*(2+E21+F21)*(C21*D21)*G21</f>
        <v>441612</v>
      </c>
      <c r="I21" s="16"/>
      <c r="J21" s="16"/>
    </row>
    <row r="22" spans="1:10" x14ac:dyDescent="0.2">
      <c r="A22" s="46" t="s">
        <v>115</v>
      </c>
      <c r="B22" s="42">
        <v>1</v>
      </c>
      <c r="C22" s="45">
        <v>16</v>
      </c>
      <c r="D22" s="22">
        <v>870</v>
      </c>
      <c r="E22" s="51">
        <f>(10*0.5)%</f>
        <v>0.05</v>
      </c>
      <c r="F22" s="43">
        <v>0.15</v>
      </c>
      <c r="G22" s="20">
        <v>12</v>
      </c>
      <c r="H22" s="50">
        <f t="shared" si="0"/>
        <v>367487.99999999994</v>
      </c>
      <c r="I22" s="16"/>
    </row>
    <row r="23" spans="1:10" x14ac:dyDescent="0.2">
      <c r="A23" s="46" t="s">
        <v>115</v>
      </c>
      <c r="B23" s="42">
        <v>1</v>
      </c>
      <c r="C23" s="45">
        <v>16</v>
      </c>
      <c r="D23" s="22">
        <v>870</v>
      </c>
      <c r="E23" s="51">
        <v>0.2</v>
      </c>
      <c r="F23" s="43">
        <v>0.25</v>
      </c>
      <c r="G23" s="20">
        <v>12</v>
      </c>
      <c r="H23" s="50">
        <f>B23*(2+E23+F23)*(C23*D23)*G23</f>
        <v>409248</v>
      </c>
      <c r="I23" s="16"/>
    </row>
    <row r="24" spans="1:10" x14ac:dyDescent="0.2">
      <c r="A24" s="46" t="s">
        <v>114</v>
      </c>
      <c r="B24" s="42">
        <v>1</v>
      </c>
      <c r="C24" s="45">
        <v>14</v>
      </c>
      <c r="D24" s="22">
        <v>870</v>
      </c>
      <c r="E24" s="43"/>
      <c r="F24" s="43">
        <v>0.1</v>
      </c>
      <c r="G24" s="20">
        <v>12</v>
      </c>
      <c r="H24" s="50">
        <f t="shared" si="0"/>
        <v>306936</v>
      </c>
      <c r="I24" s="16"/>
    </row>
    <row r="25" spans="1:10" x14ac:dyDescent="0.2">
      <c r="A25" s="46" t="s">
        <v>112</v>
      </c>
      <c r="B25" s="49">
        <v>2</v>
      </c>
      <c r="C25" s="45"/>
      <c r="D25" s="48">
        <f>20760+9100</f>
        <v>29860</v>
      </c>
      <c r="E25" s="43"/>
      <c r="F25" s="43"/>
      <c r="G25" s="20">
        <v>12</v>
      </c>
      <c r="H25" s="47">
        <f>D25*G25</f>
        <v>358320</v>
      </c>
      <c r="I25" s="16"/>
    </row>
    <row r="26" spans="1:10" x14ac:dyDescent="0.2">
      <c r="A26" s="46"/>
      <c r="B26" s="49"/>
      <c r="C26" s="45"/>
      <c r="D26" s="75"/>
      <c r="E26" s="43"/>
      <c r="F26" s="43"/>
      <c r="G26" s="42"/>
      <c r="H26" s="76">
        <f>SUM(H18:H25)</f>
        <v>3286740</v>
      </c>
      <c r="I26" s="16"/>
    </row>
    <row r="27" spans="1:10" ht="13.5" thickBot="1" x14ac:dyDescent="0.25">
      <c r="A27" s="41" t="s">
        <v>110</v>
      </c>
      <c r="B27" s="40"/>
      <c r="C27" s="39"/>
      <c r="D27" s="38">
        <v>0.26200000000000001</v>
      </c>
      <c r="E27" s="37"/>
      <c r="F27" s="37"/>
      <c r="G27" s="36">
        <v>12</v>
      </c>
      <c r="H27" s="86">
        <f>H26*D27</f>
        <v>861125.88</v>
      </c>
      <c r="I27" s="16"/>
      <c r="J27" s="18">
        <f>H27+H26</f>
        <v>4147865.88</v>
      </c>
    </row>
    <row r="28" spans="1:10" x14ac:dyDescent="0.2">
      <c r="A28" s="79"/>
      <c r="B28" s="80"/>
      <c r="C28" s="81"/>
      <c r="D28" s="82"/>
      <c r="E28" s="83"/>
      <c r="F28" s="83"/>
      <c r="G28" s="84"/>
      <c r="H28" s="85"/>
      <c r="I28" s="16"/>
    </row>
    <row r="29" spans="1:10" x14ac:dyDescent="0.2">
      <c r="A29" s="46" t="s">
        <v>111</v>
      </c>
      <c r="B29" s="42"/>
      <c r="C29" s="45"/>
      <c r="D29" s="44"/>
      <c r="E29" s="43"/>
      <c r="F29" s="43"/>
      <c r="G29" s="42"/>
      <c r="H29" s="50">
        <f>H30+H31</f>
        <v>396575.92800000001</v>
      </c>
      <c r="I29" s="16"/>
    </row>
    <row r="30" spans="1:10" x14ac:dyDescent="0.2">
      <c r="A30" s="46" t="s">
        <v>114</v>
      </c>
      <c r="B30" s="42">
        <v>1</v>
      </c>
      <c r="C30" s="45">
        <v>14</v>
      </c>
      <c r="D30" s="44">
        <v>870</v>
      </c>
      <c r="E30" s="43"/>
      <c r="F30" s="43">
        <v>0.15</v>
      </c>
      <c r="G30" s="42">
        <f>12</f>
        <v>12</v>
      </c>
      <c r="H30" s="50">
        <f>B30*(2+E30+F30)*(C30*D30)*G30</f>
        <v>314244</v>
      </c>
      <c r="I30" s="16"/>
      <c r="J30" s="16"/>
    </row>
    <row r="31" spans="1:10" ht="13.5" thickBot="1" x14ac:dyDescent="0.25">
      <c r="A31" s="41"/>
      <c r="B31" s="36"/>
      <c r="C31" s="39"/>
      <c r="D31" s="90">
        <v>0.26200000000000001</v>
      </c>
      <c r="E31" s="37"/>
      <c r="F31" s="37"/>
      <c r="G31" s="36">
        <v>12</v>
      </c>
      <c r="H31" s="86">
        <f>H30*D31</f>
        <v>82331.928</v>
      </c>
      <c r="I31" s="16"/>
      <c r="J31" s="18">
        <f>H30+H31</f>
        <v>396575.92800000001</v>
      </c>
    </row>
    <row r="32" spans="1:10" x14ac:dyDescent="0.2">
      <c r="A32" s="91" t="s">
        <v>130</v>
      </c>
      <c r="B32" s="92"/>
      <c r="C32" s="93"/>
      <c r="D32" s="94"/>
      <c r="E32" s="95"/>
      <c r="F32" s="95"/>
      <c r="G32" s="92"/>
      <c r="H32" s="96">
        <f>H15+H26+H29</f>
        <v>4297187.9280000003</v>
      </c>
      <c r="I32" s="16"/>
      <c r="J32" s="18"/>
    </row>
    <row r="33" spans="1:10" x14ac:dyDescent="0.2">
      <c r="A33" s="97" t="s">
        <v>131</v>
      </c>
      <c r="B33" s="98"/>
      <c r="C33" s="99"/>
      <c r="D33" s="100"/>
      <c r="E33" s="101"/>
      <c r="F33" s="101"/>
      <c r="G33" s="98"/>
      <c r="H33" s="102">
        <f>H16+H27+H31</f>
        <v>1104292.2720000001</v>
      </c>
      <c r="I33" s="16"/>
      <c r="J33" s="18">
        <f>H32+H33</f>
        <v>5401480.2000000002</v>
      </c>
    </row>
    <row r="34" spans="1:10" x14ac:dyDescent="0.2">
      <c r="A34" s="13">
        <v>221</v>
      </c>
      <c r="C34" s="29"/>
      <c r="E34" s="34"/>
      <c r="F34" s="34"/>
      <c r="G34" s="29"/>
    </row>
    <row r="35" spans="1:10" x14ac:dyDescent="0.2">
      <c r="A35" s="25" t="s">
        <v>137</v>
      </c>
      <c r="B35" s="24">
        <v>3000</v>
      </c>
      <c r="C35" s="20"/>
      <c r="D35" s="22"/>
      <c r="E35" s="33"/>
      <c r="F35" s="33"/>
      <c r="G35" s="20">
        <v>12</v>
      </c>
      <c r="H35" s="19">
        <f>B35*G35</f>
        <v>36000</v>
      </c>
    </row>
    <row r="36" spans="1:10" x14ac:dyDescent="0.2">
      <c r="A36" s="25" t="s">
        <v>109</v>
      </c>
      <c r="B36" s="24">
        <v>6850</v>
      </c>
      <c r="C36" s="23"/>
      <c r="D36" s="22"/>
      <c r="E36" s="21"/>
      <c r="F36" s="21"/>
      <c r="G36" s="20">
        <v>12</v>
      </c>
      <c r="H36" s="19">
        <f>B36*G36</f>
        <v>82200</v>
      </c>
    </row>
    <row r="37" spans="1:10" x14ac:dyDescent="0.2">
      <c r="A37" s="25" t="s">
        <v>108</v>
      </c>
      <c r="B37" s="24">
        <v>500</v>
      </c>
      <c r="C37" s="23"/>
      <c r="D37" s="22"/>
      <c r="E37" s="21"/>
      <c r="F37" s="21"/>
      <c r="G37" s="20">
        <v>12</v>
      </c>
      <c r="H37" s="19">
        <f>B37*G37</f>
        <v>6000</v>
      </c>
    </row>
    <row r="38" spans="1:10" x14ac:dyDescent="0.2">
      <c r="A38" s="23"/>
      <c r="B38" s="24"/>
      <c r="C38" s="23"/>
      <c r="D38" s="22"/>
      <c r="E38" s="21"/>
      <c r="F38" s="21"/>
      <c r="G38" s="23"/>
      <c r="H38" s="102">
        <f>SUM(H35:H37)</f>
        <v>124200</v>
      </c>
      <c r="J38" s="16">
        <f>H39</f>
        <v>0</v>
      </c>
    </row>
    <row r="39" spans="1:10" x14ac:dyDescent="0.2">
      <c r="A39" s="13">
        <v>222</v>
      </c>
      <c r="B39" s="26"/>
      <c r="H39" s="19"/>
    </row>
    <row r="40" spans="1:10" x14ac:dyDescent="0.2">
      <c r="A40" s="25" t="s">
        <v>93</v>
      </c>
      <c r="B40" s="24">
        <v>6000</v>
      </c>
      <c r="C40" s="23"/>
      <c r="D40" s="22"/>
      <c r="E40" s="21"/>
      <c r="F40" s="21"/>
      <c r="G40" s="20">
        <v>12</v>
      </c>
      <c r="H40" s="19">
        <f>H41+H42</f>
        <v>72000</v>
      </c>
    </row>
    <row r="41" spans="1:10" x14ac:dyDescent="0.2">
      <c r="A41" s="30" t="s">
        <v>135</v>
      </c>
      <c r="B41" s="26"/>
      <c r="G41" s="29">
        <v>1</v>
      </c>
      <c r="H41" s="12">
        <f>B41*G41</f>
        <v>0</v>
      </c>
    </row>
    <row r="42" spans="1:10" x14ac:dyDescent="0.2">
      <c r="A42" s="25" t="s">
        <v>107</v>
      </c>
      <c r="B42" s="24">
        <v>6000</v>
      </c>
      <c r="C42" s="23"/>
      <c r="D42" s="22"/>
      <c r="E42" s="21"/>
      <c r="F42" s="21"/>
      <c r="G42" s="20">
        <v>12</v>
      </c>
      <c r="H42" s="19">
        <f>B42*G42</f>
        <v>72000</v>
      </c>
    </row>
    <row r="43" spans="1:10" ht="12" customHeight="1" x14ac:dyDescent="0.2">
      <c r="A43" s="13">
        <v>223</v>
      </c>
      <c r="B43" s="26"/>
      <c r="H43" s="19"/>
    </row>
    <row r="44" spans="1:10" x14ac:dyDescent="0.2">
      <c r="A44" s="25" t="s">
        <v>106</v>
      </c>
      <c r="B44" s="24"/>
      <c r="C44" s="23"/>
      <c r="D44" s="32">
        <v>4715</v>
      </c>
      <c r="E44" s="21"/>
      <c r="F44" s="31"/>
      <c r="G44" s="20">
        <v>12</v>
      </c>
      <c r="H44" s="12">
        <f>D44*G44</f>
        <v>56580</v>
      </c>
    </row>
    <row r="45" spans="1:10" x14ac:dyDescent="0.2">
      <c r="A45" s="25" t="s">
        <v>105</v>
      </c>
      <c r="B45" s="24"/>
      <c r="C45" s="23"/>
      <c r="D45" s="32">
        <v>5950</v>
      </c>
      <c r="E45" s="21"/>
      <c r="F45" s="31"/>
      <c r="G45" s="20">
        <v>12</v>
      </c>
      <c r="H45" s="19">
        <f>D45*G45</f>
        <v>71400</v>
      </c>
      <c r="I45" s="16"/>
    </row>
    <row r="46" spans="1:10" ht="13.5" thickBot="1" x14ac:dyDescent="0.25">
      <c r="B46" s="26"/>
      <c r="H46" s="19">
        <f>SUM(H44:H45)</f>
        <v>127980</v>
      </c>
      <c r="J46" s="16">
        <f>H47</f>
        <v>0</v>
      </c>
    </row>
    <row r="47" spans="1:10" ht="13.5" thickBot="1" x14ac:dyDescent="0.25">
      <c r="A47" s="13">
        <v>225</v>
      </c>
      <c r="B47" s="26"/>
      <c r="H47" s="27"/>
    </row>
    <row r="48" spans="1:10" x14ac:dyDescent="0.2">
      <c r="A48" s="25" t="s">
        <v>104</v>
      </c>
      <c r="B48" s="24">
        <f>40000</f>
        <v>40000</v>
      </c>
      <c r="C48" s="23"/>
      <c r="D48" s="22"/>
      <c r="E48" s="21"/>
      <c r="F48" s="21"/>
      <c r="G48" s="20">
        <v>1</v>
      </c>
      <c r="H48" s="12">
        <f>B48</f>
        <v>40000</v>
      </c>
    </row>
    <row r="49" spans="1:10" x14ac:dyDescent="0.2">
      <c r="A49" s="25" t="s">
        <v>103</v>
      </c>
      <c r="B49" s="24">
        <f>5000*1.1</f>
        <v>5500</v>
      </c>
      <c r="C49" s="23"/>
      <c r="D49" s="22"/>
      <c r="E49" s="21"/>
      <c r="F49" s="21"/>
      <c r="G49" s="20">
        <v>12</v>
      </c>
      <c r="H49" s="19">
        <f>B49*G49</f>
        <v>66000</v>
      </c>
    </row>
    <row r="50" spans="1:10" x14ac:dyDescent="0.2">
      <c r="A50" s="30"/>
      <c r="B50" s="26"/>
      <c r="G50" s="29"/>
      <c r="H50" s="19">
        <f>SUM(H48:H49)</f>
        <v>106000</v>
      </c>
      <c r="J50" s="16">
        <f>H51</f>
        <v>0</v>
      </c>
    </row>
    <row r="51" spans="1:10" x14ac:dyDescent="0.2">
      <c r="A51" s="13">
        <v>226</v>
      </c>
      <c r="B51" s="26"/>
    </row>
    <row r="52" spans="1:10" x14ac:dyDescent="0.2">
      <c r="A52" s="25" t="s">
        <v>102</v>
      </c>
      <c r="B52" s="24">
        <f>10000</f>
        <v>10000</v>
      </c>
      <c r="C52" s="23"/>
      <c r="D52" s="22"/>
      <c r="E52" s="21"/>
      <c r="F52" s="21"/>
      <c r="G52" s="20">
        <v>12</v>
      </c>
      <c r="H52" s="19">
        <f>B52*G52</f>
        <v>120000</v>
      </c>
    </row>
    <row r="53" spans="1:10" x14ac:dyDescent="0.2">
      <c r="A53" s="25" t="s">
        <v>102</v>
      </c>
      <c r="B53" s="24">
        <v>0</v>
      </c>
      <c r="C53" s="23"/>
      <c r="D53" s="22"/>
      <c r="E53" s="21"/>
      <c r="F53" s="21"/>
      <c r="G53" s="20">
        <v>7</v>
      </c>
      <c r="H53" s="19">
        <f t="shared" ref="H53:H58" si="1">B53*G53</f>
        <v>0</v>
      </c>
    </row>
    <row r="54" spans="1:10" x14ac:dyDescent="0.2">
      <c r="A54" s="25" t="s">
        <v>101</v>
      </c>
      <c r="B54" s="24">
        <v>2310</v>
      </c>
      <c r="C54" s="23"/>
      <c r="D54" s="22"/>
      <c r="E54" s="21"/>
      <c r="F54" s="21"/>
      <c r="G54" s="20">
        <v>12</v>
      </c>
      <c r="H54" s="19">
        <f t="shared" si="1"/>
        <v>27720</v>
      </c>
    </row>
    <row r="55" spans="1:10" x14ac:dyDescent="0.2">
      <c r="A55" s="25" t="s">
        <v>100</v>
      </c>
      <c r="B55" s="24">
        <v>10230</v>
      </c>
      <c r="C55" s="23"/>
      <c r="D55" s="22"/>
      <c r="E55" s="21"/>
      <c r="F55" s="21"/>
      <c r="G55" s="20">
        <v>12</v>
      </c>
      <c r="H55" s="19">
        <f>B55*G55+4400+25000-100</f>
        <v>152060</v>
      </c>
    </row>
    <row r="56" spans="1:10" x14ac:dyDescent="0.2">
      <c r="A56" s="25" t="s">
        <v>99</v>
      </c>
      <c r="B56" s="24">
        <v>5500</v>
      </c>
      <c r="C56" s="23"/>
      <c r="D56" s="22"/>
      <c r="E56" s="21"/>
      <c r="F56" s="21"/>
      <c r="G56" s="20">
        <v>12</v>
      </c>
      <c r="H56" s="19">
        <f t="shared" si="1"/>
        <v>66000</v>
      </c>
    </row>
    <row r="57" spans="1:10" x14ac:dyDescent="0.2">
      <c r="A57" s="25" t="s">
        <v>98</v>
      </c>
      <c r="B57" s="24">
        <v>4400</v>
      </c>
      <c r="C57" s="23"/>
      <c r="D57" s="22"/>
      <c r="E57" s="21"/>
      <c r="F57" s="21"/>
      <c r="G57" s="20">
        <v>1</v>
      </c>
      <c r="H57" s="19">
        <f t="shared" si="1"/>
        <v>4400</v>
      </c>
    </row>
    <row r="58" spans="1:10" ht="13.5" thickBot="1" x14ac:dyDescent="0.25">
      <c r="A58" s="28" t="s">
        <v>97</v>
      </c>
      <c r="B58" s="24">
        <f>200000</f>
        <v>200000</v>
      </c>
      <c r="C58" s="23"/>
      <c r="D58" s="22"/>
      <c r="E58" s="21"/>
      <c r="F58" s="21"/>
      <c r="G58" s="20">
        <v>1</v>
      </c>
      <c r="H58" s="19">
        <f t="shared" si="1"/>
        <v>200000</v>
      </c>
    </row>
    <row r="59" spans="1:10" ht="13.5" thickBot="1" x14ac:dyDescent="0.25">
      <c r="B59" s="26"/>
      <c r="H59" s="27">
        <f>SUM(H52:H58)</f>
        <v>570180</v>
      </c>
      <c r="J59" s="16">
        <f>H60</f>
        <v>0</v>
      </c>
    </row>
    <row r="60" spans="1:10" ht="13.5" thickBot="1" x14ac:dyDescent="0.25">
      <c r="A60" s="13">
        <v>290</v>
      </c>
      <c r="B60" s="26"/>
      <c r="H60" s="27"/>
    </row>
    <row r="61" spans="1:10" x14ac:dyDescent="0.2">
      <c r="A61" s="25" t="s">
        <v>96</v>
      </c>
      <c r="B61" s="24">
        <v>20000</v>
      </c>
      <c r="C61" s="23"/>
      <c r="D61" s="22"/>
      <c r="E61" s="21"/>
      <c r="F61" s="21"/>
      <c r="G61" s="20">
        <v>1</v>
      </c>
      <c r="H61" s="12">
        <f>B61*G61</f>
        <v>20000</v>
      </c>
      <c r="J61" s="16">
        <f>H62</f>
        <v>0</v>
      </c>
    </row>
    <row r="62" spans="1:10" x14ac:dyDescent="0.2">
      <c r="A62" s="13">
        <v>310</v>
      </c>
      <c r="B62" s="26"/>
      <c r="H62" s="19"/>
      <c r="I62" s="11">
        <v>200</v>
      </c>
      <c r="J62" s="18">
        <f>SUM(J38:J61)</f>
        <v>0</v>
      </c>
    </row>
    <row r="63" spans="1:10" x14ac:dyDescent="0.2">
      <c r="A63" s="25" t="s">
        <v>95</v>
      </c>
      <c r="B63" s="103">
        <v>190000</v>
      </c>
      <c r="C63" s="23"/>
      <c r="D63" s="22"/>
      <c r="E63" s="21"/>
      <c r="F63" s="21"/>
      <c r="G63" s="20">
        <v>1</v>
      </c>
      <c r="H63" s="12">
        <f>B63*G63</f>
        <v>190000</v>
      </c>
      <c r="J63" s="16">
        <f>H64</f>
        <v>0</v>
      </c>
    </row>
    <row r="64" spans="1:10" x14ac:dyDescent="0.2">
      <c r="A64" s="13">
        <v>340</v>
      </c>
      <c r="B64" s="26"/>
      <c r="H64" s="19"/>
    </row>
    <row r="65" spans="1:10" x14ac:dyDescent="0.2">
      <c r="A65" s="25" t="s">
        <v>94</v>
      </c>
      <c r="B65" s="24">
        <v>210800</v>
      </c>
      <c r="C65" s="23"/>
      <c r="D65" s="22"/>
      <c r="E65" s="21"/>
      <c r="F65" s="21"/>
      <c r="G65" s="20">
        <v>1</v>
      </c>
      <c r="H65" s="12">
        <f>B65*G65</f>
        <v>210800</v>
      </c>
      <c r="J65" s="16">
        <f>H66</f>
        <v>0</v>
      </c>
    </row>
    <row r="66" spans="1:10" x14ac:dyDescent="0.2">
      <c r="B66" s="17"/>
      <c r="H66" s="19"/>
      <c r="I66" s="11">
        <v>300</v>
      </c>
      <c r="J66" s="18">
        <f>SUM(J63:J65)</f>
        <v>0</v>
      </c>
    </row>
    <row r="67" spans="1:10" x14ac:dyDescent="0.2">
      <c r="B67" s="17"/>
    </row>
    <row r="68" spans="1:10" x14ac:dyDescent="0.2">
      <c r="B68" s="17"/>
      <c r="I68" s="11" t="s">
        <v>93</v>
      </c>
      <c r="J68" s="16">
        <f>J7+J10+J16+J31+J62+J66</f>
        <v>2546781.6240000003</v>
      </c>
    </row>
    <row r="70" spans="1:10" x14ac:dyDescent="0.2">
      <c r="J70" s="16">
        <f>J68/1000</f>
        <v>2546.7816240000002</v>
      </c>
    </row>
    <row r="72" spans="1:10" x14ac:dyDescent="0.2">
      <c r="J72" s="16">
        <f>6461.3-J70</f>
        <v>3914.518376</v>
      </c>
    </row>
  </sheetData>
  <mergeCells count="1">
    <mergeCell ref="F1:H1"/>
  </mergeCells>
  <phoneticPr fontId="0" type="noConversion"/>
  <pageMargins left="0.74803149606299213" right="0.74803149606299213" top="0.19685039370078741" bottom="0.39370078740157483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S77"/>
  <sheetViews>
    <sheetView zoomScale="87" zoomScaleNormal="87" workbookViewId="0">
      <pane xSplit="2" ySplit="10" topLeftCell="C34" activePane="bottomRight" state="frozen"/>
      <selection activeCell="A5" sqref="A5"/>
      <selection pane="topRight" activeCell="C5" sqref="C5"/>
      <selection pane="bottomLeft" activeCell="A9" sqref="A9"/>
      <selection pane="bottomRight" activeCell="J56" sqref="J56"/>
    </sheetView>
  </sheetViews>
  <sheetFormatPr defaultColWidth="9.140625" defaultRowHeight="12.75" x14ac:dyDescent="0.2"/>
  <cols>
    <col min="1" max="1" width="9.140625" style="1" customWidth="1"/>
    <col min="2" max="2" width="38.5703125" style="1" customWidth="1"/>
    <col min="3" max="3" width="51.42578125" style="2" customWidth="1"/>
    <col min="4" max="4" width="11.7109375" style="6" hidden="1" customWidth="1"/>
    <col min="5" max="5" width="10.85546875" style="2" hidden="1" customWidth="1"/>
    <col min="6" max="6" width="13.42578125" style="2" hidden="1" customWidth="1"/>
    <col min="7" max="7" width="15.85546875" style="2" hidden="1" customWidth="1"/>
    <col min="8" max="8" width="14" style="2" hidden="1" customWidth="1"/>
    <col min="9" max="9" width="16.5703125" style="2" hidden="1" customWidth="1"/>
    <col min="10" max="10" width="15.42578125" style="2" customWidth="1"/>
    <col min="11" max="11" width="12.7109375" style="2" hidden="1" customWidth="1"/>
    <col min="12" max="12" width="12" style="2" hidden="1" customWidth="1"/>
    <col min="13" max="13" width="10.140625" style="2" hidden="1" customWidth="1"/>
    <col min="14" max="16" width="0" style="2" hidden="1" customWidth="1"/>
    <col min="17" max="17" width="9.140625" style="2"/>
    <col min="18" max="18" width="10.140625" style="2" bestFit="1" customWidth="1"/>
    <col min="19" max="19" width="9.140625" style="321"/>
    <col min="20" max="16384" width="9.140625" style="2"/>
  </cols>
  <sheetData>
    <row r="1" spans="1:19" ht="21" customHeight="1" x14ac:dyDescent="0.2">
      <c r="A1" s="120" t="s">
        <v>214</v>
      </c>
      <c r="B1" s="121"/>
      <c r="C1" s="527" t="s">
        <v>309</v>
      </c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</row>
    <row r="2" spans="1:19" ht="21" customHeight="1" x14ac:dyDescent="0.2">
      <c r="A2" s="117"/>
      <c r="B2" s="122"/>
      <c r="C2" s="122"/>
      <c r="D2" s="122"/>
      <c r="E2" s="122"/>
      <c r="F2" s="122"/>
      <c r="G2" s="122"/>
      <c r="H2" s="122"/>
      <c r="I2" s="122"/>
      <c r="J2" s="123" t="s">
        <v>423</v>
      </c>
      <c r="K2" s="122"/>
      <c r="L2" s="122"/>
      <c r="M2" s="122"/>
      <c r="N2" s="122"/>
      <c r="O2" s="122"/>
      <c r="P2" s="122"/>
    </row>
    <row r="3" spans="1:19" ht="21" customHeight="1" x14ac:dyDescent="0.2">
      <c r="A3" s="117"/>
      <c r="B3" s="122"/>
      <c r="C3" s="122"/>
      <c r="D3" s="122"/>
      <c r="E3" s="122"/>
      <c r="F3" s="122"/>
      <c r="G3" s="122"/>
      <c r="H3" s="122"/>
      <c r="I3" s="122"/>
      <c r="J3" s="123" t="s">
        <v>424</v>
      </c>
      <c r="K3" s="122"/>
      <c r="L3" s="122"/>
      <c r="M3" s="122"/>
      <c r="N3" s="122"/>
      <c r="O3" s="122"/>
      <c r="P3" s="122"/>
    </row>
    <row r="4" spans="1:19" ht="22.5" customHeight="1" x14ac:dyDescent="0.2">
      <c r="A4" s="117"/>
      <c r="B4" s="117"/>
      <c r="C4" s="528"/>
      <c r="D4" s="528"/>
      <c r="E4" s="528"/>
      <c r="F4" s="528"/>
      <c r="G4" s="528"/>
      <c r="H4" s="528"/>
      <c r="I4" s="528"/>
      <c r="J4" s="528"/>
      <c r="K4" s="528"/>
      <c r="L4" s="528"/>
      <c r="M4" s="528"/>
      <c r="N4" s="528"/>
      <c r="O4" s="528"/>
      <c r="P4" s="528"/>
    </row>
    <row r="5" spans="1:19" ht="22.5" customHeight="1" x14ac:dyDescent="0.2">
      <c r="A5" s="525" t="s">
        <v>416</v>
      </c>
      <c r="B5" s="525"/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</row>
    <row r="6" spans="1:19" ht="27.6" customHeight="1" x14ac:dyDescent="0.2">
      <c r="A6" s="525" t="s">
        <v>425</v>
      </c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</row>
    <row r="7" spans="1:19" ht="27.6" customHeight="1" thickBot="1" x14ac:dyDescent="0.25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526" t="s">
        <v>386</v>
      </c>
      <c r="P7" s="526"/>
    </row>
    <row r="8" spans="1:19" s="7" customFormat="1" ht="61.5" customHeight="1" thickBot="1" x14ac:dyDescent="0.25">
      <c r="A8" s="125" t="s">
        <v>0</v>
      </c>
      <c r="B8" s="125" t="s">
        <v>11</v>
      </c>
      <c r="C8" s="126" t="s">
        <v>1</v>
      </c>
      <c r="D8" s="127" t="s">
        <v>211</v>
      </c>
      <c r="E8" s="127" t="s">
        <v>216</v>
      </c>
      <c r="F8" s="127" t="s">
        <v>212</v>
      </c>
      <c r="G8" s="127" t="s">
        <v>279</v>
      </c>
      <c r="H8" s="127" t="s">
        <v>305</v>
      </c>
      <c r="I8" s="127" t="s">
        <v>249</v>
      </c>
      <c r="J8" s="127" t="s">
        <v>307</v>
      </c>
      <c r="K8" s="128" t="s">
        <v>246</v>
      </c>
      <c r="L8" s="129" t="s">
        <v>250</v>
      </c>
      <c r="M8" s="130" t="s">
        <v>382</v>
      </c>
      <c r="N8" s="130" t="s">
        <v>383</v>
      </c>
      <c r="O8" s="130" t="s">
        <v>384</v>
      </c>
      <c r="P8" s="130" t="s">
        <v>385</v>
      </c>
      <c r="S8" s="322"/>
    </row>
    <row r="9" spans="1:19" s="3" customFormat="1" ht="16.5" thickBot="1" x14ac:dyDescent="0.25">
      <c r="A9" s="131" t="s">
        <v>2</v>
      </c>
      <c r="B9" s="132" t="s">
        <v>16</v>
      </c>
      <c r="C9" s="133" t="s">
        <v>323</v>
      </c>
      <c r="D9" s="134" t="e">
        <f>D10+D21+D24+D31+D35</f>
        <v>#REF!</v>
      </c>
      <c r="E9" s="134" t="e">
        <f>E10+E21+E24+E31+E35</f>
        <v>#REF!</v>
      </c>
      <c r="F9" s="134" t="e">
        <f>F10+F21+F24+F31+F35</f>
        <v>#REF!</v>
      </c>
      <c r="G9" s="134">
        <f t="shared" ref="G9:P9" si="0">G10+G21+G24+G35+G43</f>
        <v>29725.4</v>
      </c>
      <c r="H9" s="134">
        <f t="shared" si="0"/>
        <v>17464.399999999998</v>
      </c>
      <c r="I9" s="134">
        <f t="shared" si="0"/>
        <v>29091.899999999998</v>
      </c>
      <c r="J9" s="135">
        <f>J10+J21+J24+J35+J43+J39</f>
        <v>26445.599999999999</v>
      </c>
      <c r="K9" s="136">
        <f t="shared" si="0"/>
        <v>27354.59</v>
      </c>
      <c r="L9" s="137">
        <f t="shared" si="0"/>
        <v>28859.092449999996</v>
      </c>
      <c r="M9" s="138">
        <f t="shared" si="0"/>
        <v>8499.1666666666661</v>
      </c>
      <c r="N9" s="138">
        <f t="shared" si="0"/>
        <v>8499.1666666666661</v>
      </c>
      <c r="O9" s="138">
        <f t="shared" si="0"/>
        <v>8499.1666666666661</v>
      </c>
      <c r="P9" s="138">
        <f t="shared" si="0"/>
        <v>133.5</v>
      </c>
      <c r="S9" s="323"/>
    </row>
    <row r="10" spans="1:19" s="4" customFormat="1" ht="16.5" thickBot="1" x14ac:dyDescent="0.25">
      <c r="A10" s="139" t="s">
        <v>7</v>
      </c>
      <c r="B10" s="140" t="s">
        <v>148</v>
      </c>
      <c r="C10" s="141" t="s">
        <v>5</v>
      </c>
      <c r="D10" s="142">
        <f t="shared" ref="D10:P10" si="1">D11+D18</f>
        <v>9631.4</v>
      </c>
      <c r="E10" s="142">
        <f t="shared" si="1"/>
        <v>6727.71</v>
      </c>
      <c r="F10" s="142">
        <f t="shared" si="1"/>
        <v>10213.75</v>
      </c>
      <c r="G10" s="142">
        <f t="shared" si="1"/>
        <v>18820</v>
      </c>
      <c r="H10" s="142">
        <f t="shared" si="1"/>
        <v>10036.199999999999</v>
      </c>
      <c r="I10" s="142">
        <f t="shared" si="1"/>
        <v>17432.899999999998</v>
      </c>
      <c r="J10" s="143">
        <f>J11+J18+J20</f>
        <v>15644</v>
      </c>
      <c r="K10" s="144">
        <f t="shared" si="1"/>
        <v>16771.415999999997</v>
      </c>
      <c r="L10" s="145">
        <f t="shared" si="1"/>
        <v>17693.843879999997</v>
      </c>
      <c r="M10" s="146">
        <f t="shared" si="1"/>
        <v>5188.5</v>
      </c>
      <c r="N10" s="146">
        <f t="shared" si="1"/>
        <v>5188.5</v>
      </c>
      <c r="O10" s="146">
        <f t="shared" si="1"/>
        <v>5188.5</v>
      </c>
      <c r="P10" s="146">
        <f t="shared" si="1"/>
        <v>62.5</v>
      </c>
      <c r="S10" s="324"/>
    </row>
    <row r="11" spans="1:19" s="6" customFormat="1" ht="39.950000000000003" customHeight="1" x14ac:dyDescent="0.2">
      <c r="A11" s="147" t="s">
        <v>62</v>
      </c>
      <c r="B11" s="148" t="s">
        <v>243</v>
      </c>
      <c r="C11" s="149" t="s">
        <v>142</v>
      </c>
      <c r="D11" s="150">
        <f>D12+D15+D13+D16</f>
        <v>9391.4</v>
      </c>
      <c r="E11" s="150">
        <f>E12+E15+E13+E16</f>
        <v>6546.21</v>
      </c>
      <c r="F11" s="150">
        <f>F12+F15+F13+F16</f>
        <v>9941.5</v>
      </c>
      <c r="G11" s="150">
        <f>G12+G15+G13+G16+G17</f>
        <v>18620</v>
      </c>
      <c r="H11" s="150">
        <f>H12+H15+H13+H16+H17</f>
        <v>9812.9999999999982</v>
      </c>
      <c r="I11" s="150">
        <f>I12+I15+I13+I16+I17+I18</f>
        <v>17098.099999999999</v>
      </c>
      <c r="J11" s="151">
        <f>J12+J15+J13+J16+J17</f>
        <v>15404</v>
      </c>
      <c r="K11" s="152">
        <f>K12+K15+K13+K16+K17+K18</f>
        <v>16534.423999999999</v>
      </c>
      <c r="L11" s="153">
        <f>L12+L15+L13+L16+L17+L18</f>
        <v>17443.817319999998</v>
      </c>
      <c r="M11" s="154">
        <f>M12+M15+M13+M16+M17</f>
        <v>5113.833333333333</v>
      </c>
      <c r="N11" s="154">
        <f>N12+N15+N13+N16+N17</f>
        <v>5113.833333333333</v>
      </c>
      <c r="O11" s="154">
        <f>O12+O15+O13+O16+O17</f>
        <v>5113.833333333333</v>
      </c>
      <c r="P11" s="154">
        <f>P12+P15+P13+P16+P17</f>
        <v>62.5</v>
      </c>
      <c r="S11" s="325"/>
    </row>
    <row r="12" spans="1:19" s="6" customFormat="1" ht="39.950000000000003" customHeight="1" x14ac:dyDescent="0.2">
      <c r="A12" s="147" t="s">
        <v>45</v>
      </c>
      <c r="B12" s="148" t="s">
        <v>194</v>
      </c>
      <c r="C12" s="149" t="s">
        <v>143</v>
      </c>
      <c r="D12" s="150">
        <v>6131.4</v>
      </c>
      <c r="E12" s="150">
        <v>3667.3</v>
      </c>
      <c r="F12" s="150">
        <f>E12/8*12</f>
        <v>5500.9500000000007</v>
      </c>
      <c r="G12" s="150">
        <v>17300</v>
      </c>
      <c r="H12" s="150">
        <v>8970.7999999999993</v>
      </c>
      <c r="I12" s="150">
        <v>15500</v>
      </c>
      <c r="J12" s="151">
        <v>12426</v>
      </c>
      <c r="K12" s="155">
        <f>J12*1.058</f>
        <v>13146.708000000001</v>
      </c>
      <c r="L12" s="156">
        <f>K12*1.055</f>
        <v>13869.77694</v>
      </c>
      <c r="M12" s="154">
        <f>J12/3</f>
        <v>4142</v>
      </c>
      <c r="N12" s="154">
        <f>J12/3</f>
        <v>4142</v>
      </c>
      <c r="O12" s="154">
        <f>J12/3</f>
        <v>4142</v>
      </c>
      <c r="P12" s="154">
        <v>0</v>
      </c>
      <c r="S12" s="325"/>
    </row>
    <row r="13" spans="1:19" s="6" customFormat="1" ht="60.75" hidden="1" customHeight="1" x14ac:dyDescent="0.2">
      <c r="A13" s="147" t="s">
        <v>44</v>
      </c>
      <c r="B13" s="148" t="s">
        <v>195</v>
      </c>
      <c r="C13" s="149" t="s">
        <v>196</v>
      </c>
      <c r="D13" s="150">
        <v>2450</v>
      </c>
      <c r="E13" s="150">
        <v>2220.5</v>
      </c>
      <c r="F13" s="150">
        <f>E13/8*12</f>
        <v>3330.75</v>
      </c>
      <c r="G13" s="150"/>
      <c r="H13" s="150"/>
      <c r="I13" s="150">
        <f>H13/8*12</f>
        <v>0</v>
      </c>
      <c r="J13" s="151">
        <f t="shared" ref="J13:K47" si="2">I13*1.058</f>
        <v>0</v>
      </c>
      <c r="K13" s="155">
        <f t="shared" si="2"/>
        <v>0</v>
      </c>
      <c r="L13" s="156">
        <f t="shared" ref="L13:L47" si="3">K13*1.055</f>
        <v>0</v>
      </c>
      <c r="M13" s="150">
        <v>0</v>
      </c>
      <c r="N13" s="150">
        <v>0</v>
      </c>
      <c r="O13" s="150">
        <v>0</v>
      </c>
      <c r="P13" s="150">
        <v>0</v>
      </c>
      <c r="S13" s="325"/>
    </row>
    <row r="14" spans="1:19" s="6" customFormat="1" ht="39.950000000000003" customHeight="1" x14ac:dyDescent="0.2">
      <c r="A14" s="147" t="s">
        <v>63</v>
      </c>
      <c r="B14" s="148" t="s">
        <v>280</v>
      </c>
      <c r="C14" s="149" t="s">
        <v>144</v>
      </c>
      <c r="D14" s="150"/>
      <c r="E14" s="150"/>
      <c r="F14" s="150"/>
      <c r="G14" s="150">
        <f>G15</f>
        <v>760</v>
      </c>
      <c r="H14" s="150">
        <f>H15</f>
        <v>824.4</v>
      </c>
      <c r="I14" s="150">
        <f>I15</f>
        <v>1236.5999999999999</v>
      </c>
      <c r="J14" s="151">
        <f>J15</f>
        <v>2728</v>
      </c>
      <c r="K14" s="155">
        <f t="shared" si="2"/>
        <v>2886.2240000000002</v>
      </c>
      <c r="L14" s="156">
        <f t="shared" si="3"/>
        <v>3044.96632</v>
      </c>
      <c r="M14" s="154">
        <f>M15</f>
        <v>909.33333333333337</v>
      </c>
      <c r="N14" s="154">
        <f>N15</f>
        <v>909.33333333333337</v>
      </c>
      <c r="O14" s="154">
        <f>O15</f>
        <v>909.33333333333337</v>
      </c>
      <c r="P14" s="154">
        <f>P15</f>
        <v>0</v>
      </c>
      <c r="S14" s="325"/>
    </row>
    <row r="15" spans="1:19" s="6" customFormat="1" ht="39.950000000000003" customHeight="1" x14ac:dyDescent="0.2">
      <c r="A15" s="147" t="s">
        <v>178</v>
      </c>
      <c r="B15" s="148" t="s">
        <v>197</v>
      </c>
      <c r="C15" s="149" t="s">
        <v>144</v>
      </c>
      <c r="D15" s="150">
        <v>800</v>
      </c>
      <c r="E15" s="150">
        <v>733.2</v>
      </c>
      <c r="F15" s="150">
        <f>E15/8*12</f>
        <v>1099.8000000000002</v>
      </c>
      <c r="G15" s="150">
        <v>760</v>
      </c>
      <c r="H15" s="150">
        <v>824.4</v>
      </c>
      <c r="I15" s="150">
        <f t="shared" ref="I15:I20" si="4">H15/8*12</f>
        <v>1236.5999999999999</v>
      </c>
      <c r="J15" s="151">
        <v>2728</v>
      </c>
      <c r="K15" s="155">
        <f t="shared" si="2"/>
        <v>2886.2240000000002</v>
      </c>
      <c r="L15" s="156">
        <f t="shared" si="3"/>
        <v>3044.96632</v>
      </c>
      <c r="M15" s="154">
        <f>J15/3</f>
        <v>909.33333333333337</v>
      </c>
      <c r="N15" s="154">
        <f>J15/3</f>
        <v>909.33333333333337</v>
      </c>
      <c r="O15" s="154">
        <f>J15/3</f>
        <v>909.33333333333337</v>
      </c>
      <c r="P15" s="154">
        <v>0</v>
      </c>
      <c r="S15" s="325"/>
    </row>
    <row r="16" spans="1:19" s="6" customFormat="1" ht="39.950000000000003" hidden="1" customHeight="1" x14ac:dyDescent="0.2">
      <c r="A16" s="147" t="s">
        <v>178</v>
      </c>
      <c r="B16" s="148" t="s">
        <v>198</v>
      </c>
      <c r="C16" s="149" t="s">
        <v>199</v>
      </c>
      <c r="D16" s="150">
        <v>10</v>
      </c>
      <c r="E16" s="150">
        <v>-74.790000000000006</v>
      </c>
      <c r="F16" s="150">
        <v>10</v>
      </c>
      <c r="G16" s="157"/>
      <c r="H16" s="157"/>
      <c r="I16" s="150">
        <f t="shared" si="4"/>
        <v>0</v>
      </c>
      <c r="J16" s="151">
        <f t="shared" si="2"/>
        <v>0</v>
      </c>
      <c r="K16" s="155">
        <f t="shared" si="2"/>
        <v>0</v>
      </c>
      <c r="L16" s="156">
        <f t="shared" si="3"/>
        <v>0</v>
      </c>
      <c r="M16" s="150">
        <v>0</v>
      </c>
      <c r="N16" s="150">
        <v>0</v>
      </c>
      <c r="O16" s="150">
        <v>0</v>
      </c>
      <c r="P16" s="150">
        <v>0</v>
      </c>
      <c r="S16" s="325"/>
    </row>
    <row r="17" spans="1:19" s="6" customFormat="1" ht="39.950000000000003" customHeight="1" x14ac:dyDescent="0.2">
      <c r="A17" s="147" t="s">
        <v>242</v>
      </c>
      <c r="B17" s="148" t="s">
        <v>240</v>
      </c>
      <c r="C17" s="149" t="s">
        <v>241</v>
      </c>
      <c r="D17" s="150"/>
      <c r="E17" s="150"/>
      <c r="F17" s="150"/>
      <c r="G17" s="150">
        <v>560</v>
      </c>
      <c r="H17" s="150">
        <v>17.8</v>
      </c>
      <c r="I17" s="150">
        <f t="shared" si="4"/>
        <v>26.700000000000003</v>
      </c>
      <c r="J17" s="151">
        <v>250</v>
      </c>
      <c r="K17" s="155">
        <f t="shared" si="2"/>
        <v>264.5</v>
      </c>
      <c r="L17" s="156">
        <f t="shared" si="3"/>
        <v>279.04749999999996</v>
      </c>
      <c r="M17" s="154">
        <f>J17/4</f>
        <v>62.5</v>
      </c>
      <c r="N17" s="154">
        <f>J17/4</f>
        <v>62.5</v>
      </c>
      <c r="O17" s="154">
        <f>J17/4</f>
        <v>62.5</v>
      </c>
      <c r="P17" s="154">
        <f>J17/4</f>
        <v>62.5</v>
      </c>
      <c r="S17" s="325"/>
    </row>
    <row r="18" spans="1:19" s="6" customFormat="1" ht="39.950000000000003" customHeight="1" x14ac:dyDescent="0.2">
      <c r="A18" s="147" t="s">
        <v>161</v>
      </c>
      <c r="B18" s="148" t="s">
        <v>245</v>
      </c>
      <c r="C18" s="149" t="s">
        <v>310</v>
      </c>
      <c r="D18" s="150">
        <f>D19+D20</f>
        <v>240</v>
      </c>
      <c r="E18" s="150">
        <f>E19+E20</f>
        <v>181.5</v>
      </c>
      <c r="F18" s="150">
        <f>E18/8*12</f>
        <v>272.25</v>
      </c>
      <c r="G18" s="150">
        <f>G19+G20</f>
        <v>200</v>
      </c>
      <c r="H18" s="150">
        <f>H19+H20</f>
        <v>223.2</v>
      </c>
      <c r="I18" s="150">
        <f t="shared" si="4"/>
        <v>334.79999999999995</v>
      </c>
      <c r="J18" s="151">
        <f>J19</f>
        <v>224</v>
      </c>
      <c r="K18" s="155">
        <f t="shared" si="2"/>
        <v>236.99200000000002</v>
      </c>
      <c r="L18" s="156">
        <f t="shared" si="3"/>
        <v>250.02656000000002</v>
      </c>
      <c r="M18" s="154">
        <f>M19</f>
        <v>74.666666666666671</v>
      </c>
      <c r="N18" s="154">
        <f>N19</f>
        <v>74.666666666666671</v>
      </c>
      <c r="O18" s="154">
        <f>O19</f>
        <v>74.666666666666671</v>
      </c>
      <c r="P18" s="154">
        <f>P19</f>
        <v>0</v>
      </c>
      <c r="S18" s="325"/>
    </row>
    <row r="19" spans="1:19" s="6" customFormat="1" ht="39.950000000000003" customHeight="1" x14ac:dyDescent="0.2">
      <c r="A19" s="147" t="s">
        <v>177</v>
      </c>
      <c r="B19" s="148" t="s">
        <v>200</v>
      </c>
      <c r="C19" s="149" t="s">
        <v>310</v>
      </c>
      <c r="D19" s="150">
        <v>120</v>
      </c>
      <c r="E19" s="150">
        <v>130.5</v>
      </c>
      <c r="F19" s="150">
        <f>E19/8*12</f>
        <v>195.75</v>
      </c>
      <c r="G19" s="150">
        <v>200</v>
      </c>
      <c r="H19" s="150">
        <v>223.2</v>
      </c>
      <c r="I19" s="150">
        <f t="shared" si="4"/>
        <v>334.79999999999995</v>
      </c>
      <c r="J19" s="151">
        <v>224</v>
      </c>
      <c r="K19" s="155">
        <f t="shared" si="2"/>
        <v>236.99200000000002</v>
      </c>
      <c r="L19" s="156">
        <f t="shared" si="3"/>
        <v>250.02656000000002</v>
      </c>
      <c r="M19" s="154">
        <f>J19/3</f>
        <v>74.666666666666671</v>
      </c>
      <c r="N19" s="154">
        <f>J19/3</f>
        <v>74.666666666666671</v>
      </c>
      <c r="O19" s="154">
        <f>J19/3</f>
        <v>74.666666666666671</v>
      </c>
      <c r="P19" s="154">
        <v>0</v>
      </c>
      <c r="S19" s="325"/>
    </row>
    <row r="20" spans="1:19" s="4" customFormat="1" ht="45" customHeight="1" thickBot="1" x14ac:dyDescent="0.25">
      <c r="A20" s="147" t="s">
        <v>231</v>
      </c>
      <c r="B20" s="148" t="s">
        <v>426</v>
      </c>
      <c r="C20" s="149" t="s">
        <v>427</v>
      </c>
      <c r="D20" s="150">
        <v>120</v>
      </c>
      <c r="E20" s="150">
        <v>51</v>
      </c>
      <c r="F20" s="150">
        <f>E20/8*12</f>
        <v>76.5</v>
      </c>
      <c r="G20" s="157"/>
      <c r="H20" s="150"/>
      <c r="I20" s="150">
        <f t="shared" si="4"/>
        <v>0</v>
      </c>
      <c r="J20" s="151">
        <v>16</v>
      </c>
      <c r="K20" s="155">
        <f t="shared" si="2"/>
        <v>16.928000000000001</v>
      </c>
      <c r="L20" s="156">
        <f t="shared" si="3"/>
        <v>17.85904</v>
      </c>
      <c r="M20" s="158"/>
      <c r="N20" s="158"/>
      <c r="O20" s="158"/>
      <c r="P20" s="158"/>
      <c r="S20" s="324"/>
    </row>
    <row r="21" spans="1:19" s="6" customFormat="1" ht="16.5" thickBot="1" x14ac:dyDescent="0.25">
      <c r="A21" s="139" t="s">
        <v>4</v>
      </c>
      <c r="B21" s="140" t="s">
        <v>149</v>
      </c>
      <c r="C21" s="141" t="s">
        <v>6</v>
      </c>
      <c r="D21" s="142">
        <f>D22</f>
        <v>300</v>
      </c>
      <c r="E21" s="142">
        <f t="shared" ref="E21:P22" si="5">E22</f>
        <v>175</v>
      </c>
      <c r="F21" s="142">
        <f t="shared" si="5"/>
        <v>262.5</v>
      </c>
      <c r="G21" s="142">
        <f t="shared" si="5"/>
        <v>1600</v>
      </c>
      <c r="H21" s="142">
        <f t="shared" si="5"/>
        <v>950.7</v>
      </c>
      <c r="I21" s="142">
        <f t="shared" si="5"/>
        <v>1600</v>
      </c>
      <c r="J21" s="143">
        <f t="shared" si="5"/>
        <v>2985</v>
      </c>
      <c r="K21" s="159">
        <f t="shared" si="5"/>
        <v>3158.13</v>
      </c>
      <c r="L21" s="160">
        <f t="shared" si="5"/>
        <v>3331.8271500000001</v>
      </c>
      <c r="M21" s="146">
        <f t="shared" si="5"/>
        <v>995</v>
      </c>
      <c r="N21" s="146">
        <f t="shared" si="5"/>
        <v>995</v>
      </c>
      <c r="O21" s="146">
        <f t="shared" si="5"/>
        <v>995</v>
      </c>
      <c r="P21" s="146">
        <f t="shared" si="5"/>
        <v>0</v>
      </c>
      <c r="S21" s="325"/>
    </row>
    <row r="22" spans="1:19" ht="39.950000000000003" customHeight="1" x14ac:dyDescent="0.2">
      <c r="A22" s="147" t="s">
        <v>64</v>
      </c>
      <c r="B22" s="148" t="s">
        <v>244</v>
      </c>
      <c r="C22" s="161" t="s">
        <v>55</v>
      </c>
      <c r="D22" s="150">
        <f>D23</f>
        <v>300</v>
      </c>
      <c r="E22" s="150">
        <v>175</v>
      </c>
      <c r="F22" s="150">
        <f t="shared" si="5"/>
        <v>262.5</v>
      </c>
      <c r="G22" s="150">
        <f t="shared" si="5"/>
        <v>1600</v>
      </c>
      <c r="H22" s="150">
        <f t="shared" si="5"/>
        <v>950.7</v>
      </c>
      <c r="I22" s="150">
        <f>I23</f>
        <v>1600</v>
      </c>
      <c r="J22" s="151">
        <f>J23</f>
        <v>2985</v>
      </c>
      <c r="K22" s="155">
        <f t="shared" si="2"/>
        <v>3158.13</v>
      </c>
      <c r="L22" s="156">
        <f t="shared" si="3"/>
        <v>3331.8271500000001</v>
      </c>
      <c r="M22" s="154">
        <f t="shared" si="5"/>
        <v>995</v>
      </c>
      <c r="N22" s="154">
        <f t="shared" si="5"/>
        <v>995</v>
      </c>
      <c r="O22" s="154">
        <f t="shared" si="5"/>
        <v>995</v>
      </c>
      <c r="P22" s="154">
        <f t="shared" si="5"/>
        <v>0</v>
      </c>
    </row>
    <row r="23" spans="1:19" s="6" customFormat="1" ht="64.5" thickBot="1" x14ac:dyDescent="0.25">
      <c r="A23" s="147" t="s">
        <v>65</v>
      </c>
      <c r="B23" s="148" t="s">
        <v>52</v>
      </c>
      <c r="C23" s="149" t="s">
        <v>56</v>
      </c>
      <c r="D23" s="150">
        <v>300</v>
      </c>
      <c r="E23" s="150">
        <v>175</v>
      </c>
      <c r="F23" s="150">
        <f>E23/8*12</f>
        <v>262.5</v>
      </c>
      <c r="G23" s="150">
        <v>1600</v>
      </c>
      <c r="H23" s="150">
        <v>950.7</v>
      </c>
      <c r="I23" s="150">
        <v>1600</v>
      </c>
      <c r="J23" s="151">
        <f>1985+1000</f>
        <v>2985</v>
      </c>
      <c r="K23" s="155">
        <f t="shared" si="2"/>
        <v>3158.13</v>
      </c>
      <c r="L23" s="156">
        <f t="shared" si="3"/>
        <v>3331.8271500000001</v>
      </c>
      <c r="M23" s="154">
        <f>J23/3</f>
        <v>995</v>
      </c>
      <c r="N23" s="154">
        <f>J23/3</f>
        <v>995</v>
      </c>
      <c r="O23" s="154">
        <f>J23/3</f>
        <v>995</v>
      </c>
      <c r="P23" s="154">
        <v>0</v>
      </c>
      <c r="S23" s="325"/>
    </row>
    <row r="24" spans="1:19" s="6" customFormat="1" ht="39" thickBot="1" x14ac:dyDescent="0.25">
      <c r="A24" s="139">
        <v>3</v>
      </c>
      <c r="B24" s="140" t="s">
        <v>17</v>
      </c>
      <c r="C24" s="141" t="s">
        <v>145</v>
      </c>
      <c r="D24" s="142" t="e">
        <f>#REF!+#REF!+D25+#REF!+#REF!</f>
        <v>#REF!</v>
      </c>
      <c r="E24" s="142" t="e">
        <f>#REF!+#REF!+E25+#REF!+#REF!</f>
        <v>#REF!</v>
      </c>
      <c r="F24" s="142" t="e">
        <f>#REF!+#REF!+F25+#REF!+#REF!</f>
        <v>#REF!</v>
      </c>
      <c r="G24" s="142">
        <f t="shared" ref="G24:L24" si="6">G29+G33</f>
        <v>9275.4</v>
      </c>
      <c r="H24" s="142">
        <f t="shared" si="6"/>
        <v>6457.7</v>
      </c>
      <c r="I24" s="142">
        <f t="shared" si="6"/>
        <v>10024</v>
      </c>
      <c r="J24" s="143">
        <f t="shared" si="6"/>
        <v>6746</v>
      </c>
      <c r="K24" s="159">
        <f t="shared" si="6"/>
        <v>7137.268</v>
      </c>
      <c r="L24" s="160">
        <f t="shared" si="6"/>
        <v>7529.8177400000004</v>
      </c>
      <c r="M24" s="162">
        <f>M29+M33</f>
        <v>2247.6666666666665</v>
      </c>
      <c r="N24" s="162">
        <f>N29+N33</f>
        <v>2247.6666666666665</v>
      </c>
      <c r="O24" s="162">
        <f>O29+O33</f>
        <v>2247.6666666666665</v>
      </c>
      <c r="P24" s="162">
        <f>P29+P33</f>
        <v>3</v>
      </c>
      <c r="S24" s="325"/>
    </row>
    <row r="25" spans="1:19" s="6" customFormat="1" ht="30" hidden="1" customHeight="1" x14ac:dyDescent="0.2">
      <c r="A25" s="163"/>
      <c r="B25" s="164" t="s">
        <v>295</v>
      </c>
      <c r="C25" s="165" t="s">
        <v>296</v>
      </c>
      <c r="D25" s="150">
        <f>D30</f>
        <v>5500</v>
      </c>
      <c r="E25" s="150">
        <f>E30</f>
        <v>3350.4</v>
      </c>
      <c r="F25" s="150">
        <f>F30</f>
        <v>5025.6000000000004</v>
      </c>
      <c r="G25" s="157"/>
      <c r="H25" s="150">
        <f>H26</f>
        <v>0</v>
      </c>
      <c r="I25" s="150">
        <f>H25/8*12</f>
        <v>0</v>
      </c>
      <c r="J25" s="151">
        <f t="shared" si="2"/>
        <v>0</v>
      </c>
      <c r="K25" s="155">
        <f t="shared" si="2"/>
        <v>0</v>
      </c>
      <c r="L25" s="156">
        <f t="shared" si="3"/>
        <v>0</v>
      </c>
      <c r="M25" s="154">
        <f t="shared" ref="M25:P28" si="7">L25*1.058</f>
        <v>0</v>
      </c>
      <c r="N25" s="154">
        <f t="shared" si="7"/>
        <v>0</v>
      </c>
      <c r="O25" s="154">
        <f t="shared" si="7"/>
        <v>0</v>
      </c>
      <c r="P25" s="154">
        <f t="shared" si="7"/>
        <v>0</v>
      </c>
      <c r="S25" s="325"/>
    </row>
    <row r="26" spans="1:19" s="6" customFormat="1" ht="57.75" hidden="1" customHeight="1" x14ac:dyDescent="0.2">
      <c r="A26" s="163"/>
      <c r="B26" s="164" t="s">
        <v>297</v>
      </c>
      <c r="C26" s="165" t="s">
        <v>298</v>
      </c>
      <c r="D26" s="150">
        <f>D30</f>
        <v>5500</v>
      </c>
      <c r="E26" s="150">
        <f>E30</f>
        <v>3350.4</v>
      </c>
      <c r="F26" s="150">
        <f>F30</f>
        <v>5025.6000000000004</v>
      </c>
      <c r="G26" s="157"/>
      <c r="H26" s="150">
        <f>H27</f>
        <v>0</v>
      </c>
      <c r="I26" s="150">
        <f>H26/8*12</f>
        <v>0</v>
      </c>
      <c r="J26" s="151">
        <f t="shared" si="2"/>
        <v>0</v>
      </c>
      <c r="K26" s="155">
        <f t="shared" si="2"/>
        <v>0</v>
      </c>
      <c r="L26" s="156">
        <f t="shared" si="3"/>
        <v>0</v>
      </c>
      <c r="M26" s="154">
        <f t="shared" si="7"/>
        <v>0</v>
      </c>
      <c r="N26" s="154">
        <f t="shared" si="7"/>
        <v>0</v>
      </c>
      <c r="O26" s="154">
        <f t="shared" si="7"/>
        <v>0</v>
      </c>
      <c r="P26" s="154">
        <f t="shared" si="7"/>
        <v>0</v>
      </c>
      <c r="S26" s="325"/>
    </row>
    <row r="27" spans="1:19" s="6" customFormat="1" ht="36" hidden="1" customHeight="1" x14ac:dyDescent="0.2">
      <c r="A27" s="163"/>
      <c r="B27" s="164" t="s">
        <v>299</v>
      </c>
      <c r="C27" s="165" t="s">
        <v>300</v>
      </c>
      <c r="D27" s="150">
        <f>D30</f>
        <v>5500</v>
      </c>
      <c r="E27" s="150">
        <v>3350.4</v>
      </c>
      <c r="F27" s="150">
        <f>F30</f>
        <v>5025.6000000000004</v>
      </c>
      <c r="G27" s="157"/>
      <c r="H27" s="150">
        <f>H28</f>
        <v>0</v>
      </c>
      <c r="I27" s="150">
        <f>H27/8*12</f>
        <v>0</v>
      </c>
      <c r="J27" s="151">
        <f t="shared" si="2"/>
        <v>0</v>
      </c>
      <c r="K27" s="155">
        <f t="shared" si="2"/>
        <v>0</v>
      </c>
      <c r="L27" s="156">
        <f t="shared" si="3"/>
        <v>0</v>
      </c>
      <c r="M27" s="154">
        <f t="shared" si="7"/>
        <v>0</v>
      </c>
      <c r="N27" s="154">
        <f t="shared" si="7"/>
        <v>0</v>
      </c>
      <c r="O27" s="154">
        <f t="shared" si="7"/>
        <v>0</v>
      </c>
      <c r="P27" s="154">
        <f t="shared" si="7"/>
        <v>0</v>
      </c>
      <c r="S27" s="325"/>
    </row>
    <row r="28" spans="1:19" s="6" customFormat="1" ht="51" hidden="1" x14ac:dyDescent="0.2">
      <c r="A28" s="163"/>
      <c r="B28" s="164" t="s">
        <v>301</v>
      </c>
      <c r="C28" s="165" t="s">
        <v>302</v>
      </c>
      <c r="D28" s="150">
        <v>5500</v>
      </c>
      <c r="E28" s="150">
        <v>3350.4</v>
      </c>
      <c r="F28" s="150">
        <f>E28/8*12</f>
        <v>5025.6000000000004</v>
      </c>
      <c r="G28" s="157"/>
      <c r="H28" s="150">
        <f>G28*1.05</f>
        <v>0</v>
      </c>
      <c r="I28" s="150">
        <f>H28/8*12</f>
        <v>0</v>
      </c>
      <c r="J28" s="151">
        <f t="shared" si="2"/>
        <v>0</v>
      </c>
      <c r="K28" s="155">
        <f t="shared" si="2"/>
        <v>0</v>
      </c>
      <c r="L28" s="156">
        <f t="shared" si="3"/>
        <v>0</v>
      </c>
      <c r="M28" s="154">
        <f t="shared" si="7"/>
        <v>0</v>
      </c>
      <c r="N28" s="154">
        <f t="shared" si="7"/>
        <v>0</v>
      </c>
      <c r="O28" s="154">
        <f t="shared" si="7"/>
        <v>0</v>
      </c>
      <c r="P28" s="154">
        <f t="shared" si="7"/>
        <v>0</v>
      </c>
      <c r="S28" s="325"/>
    </row>
    <row r="29" spans="1:19" s="6" customFormat="1" ht="65.099999999999994" customHeight="1" x14ac:dyDescent="0.2">
      <c r="A29" s="147" t="s">
        <v>66</v>
      </c>
      <c r="B29" s="166" t="s">
        <v>159</v>
      </c>
      <c r="C29" s="149" t="s">
        <v>201</v>
      </c>
      <c r="D29" s="142"/>
      <c r="E29" s="142"/>
      <c r="F29" s="142"/>
      <c r="G29" s="150">
        <f t="shared" ref="G29:I31" si="8">G30</f>
        <v>9251.4</v>
      </c>
      <c r="H29" s="150">
        <f t="shared" si="8"/>
        <v>6445.7</v>
      </c>
      <c r="I29" s="150">
        <f t="shared" si="8"/>
        <v>10000</v>
      </c>
      <c r="J29" s="151">
        <f>J30</f>
        <v>6734</v>
      </c>
      <c r="K29" s="155">
        <f t="shared" si="2"/>
        <v>7124.5720000000001</v>
      </c>
      <c r="L29" s="156">
        <f t="shared" si="3"/>
        <v>7516.42346</v>
      </c>
      <c r="M29" s="154">
        <f t="shared" ref="M29:P31" si="9">M30</f>
        <v>2244.6666666666665</v>
      </c>
      <c r="N29" s="154">
        <f t="shared" si="9"/>
        <v>2244.6666666666665</v>
      </c>
      <c r="O29" s="154">
        <f t="shared" si="9"/>
        <v>2244.6666666666665</v>
      </c>
      <c r="P29" s="154">
        <f t="shared" si="9"/>
        <v>0</v>
      </c>
      <c r="S29" s="325"/>
    </row>
    <row r="30" spans="1:19" s="6" customFormat="1" ht="65.099999999999994" customHeight="1" x14ac:dyDescent="0.2">
      <c r="A30" s="147" t="s">
        <v>67</v>
      </c>
      <c r="B30" s="166" t="s">
        <v>160</v>
      </c>
      <c r="C30" s="149" t="s">
        <v>146</v>
      </c>
      <c r="D30" s="150">
        <v>5500</v>
      </c>
      <c r="E30" s="150">
        <v>3350.4</v>
      </c>
      <c r="F30" s="150">
        <f>E30/8*12</f>
        <v>5025.6000000000004</v>
      </c>
      <c r="G30" s="150">
        <f t="shared" si="8"/>
        <v>9251.4</v>
      </c>
      <c r="H30" s="150">
        <f t="shared" si="8"/>
        <v>6445.7</v>
      </c>
      <c r="I30" s="150">
        <f>I31</f>
        <v>10000</v>
      </c>
      <c r="J30" s="151">
        <f>J31</f>
        <v>6734</v>
      </c>
      <c r="K30" s="155">
        <f t="shared" si="2"/>
        <v>7124.5720000000001</v>
      </c>
      <c r="L30" s="156">
        <f t="shared" si="3"/>
        <v>7516.42346</v>
      </c>
      <c r="M30" s="154">
        <f t="shared" si="9"/>
        <v>2244.6666666666665</v>
      </c>
      <c r="N30" s="154">
        <f t="shared" si="9"/>
        <v>2244.6666666666665</v>
      </c>
      <c r="O30" s="154">
        <f t="shared" si="9"/>
        <v>2244.6666666666665</v>
      </c>
      <c r="P30" s="154">
        <f t="shared" si="9"/>
        <v>0</v>
      </c>
      <c r="S30" s="325"/>
    </row>
    <row r="31" spans="1:19" s="6" customFormat="1" ht="84" customHeight="1" x14ac:dyDescent="0.2">
      <c r="A31" s="147" t="s">
        <v>140</v>
      </c>
      <c r="B31" s="166" t="s">
        <v>281</v>
      </c>
      <c r="C31" s="149" t="s">
        <v>147</v>
      </c>
      <c r="D31" s="167">
        <f>D32</f>
        <v>3450</v>
      </c>
      <c r="E31" s="167">
        <f>E32</f>
        <v>1791.7</v>
      </c>
      <c r="F31" s="167">
        <f>F32</f>
        <v>2090</v>
      </c>
      <c r="G31" s="150">
        <f>G32</f>
        <v>9251.4</v>
      </c>
      <c r="H31" s="150">
        <f t="shared" si="8"/>
        <v>6445.7</v>
      </c>
      <c r="I31" s="150">
        <f>I32</f>
        <v>10000</v>
      </c>
      <c r="J31" s="151">
        <f>J32</f>
        <v>6734</v>
      </c>
      <c r="K31" s="155">
        <f t="shared" si="2"/>
        <v>7124.5720000000001</v>
      </c>
      <c r="L31" s="156">
        <f t="shared" si="3"/>
        <v>7516.42346</v>
      </c>
      <c r="M31" s="154">
        <f t="shared" si="9"/>
        <v>2244.6666666666665</v>
      </c>
      <c r="N31" s="154">
        <f t="shared" si="9"/>
        <v>2244.6666666666665</v>
      </c>
      <c r="O31" s="154">
        <f t="shared" si="9"/>
        <v>2244.6666666666665</v>
      </c>
      <c r="P31" s="154">
        <f t="shared" si="9"/>
        <v>0</v>
      </c>
      <c r="S31" s="325"/>
    </row>
    <row r="32" spans="1:19" s="6" customFormat="1" ht="65.099999999999994" customHeight="1" x14ac:dyDescent="0.2">
      <c r="A32" s="147" t="s">
        <v>282</v>
      </c>
      <c r="B32" s="166" t="s">
        <v>233</v>
      </c>
      <c r="C32" s="149" t="s">
        <v>59</v>
      </c>
      <c r="D32" s="168">
        <f>D33</f>
        <v>3450</v>
      </c>
      <c r="E32" s="168">
        <f>E33</f>
        <v>1791.7</v>
      </c>
      <c r="F32" s="168">
        <f>F33</f>
        <v>2090</v>
      </c>
      <c r="G32" s="150">
        <f>9214.3+37.1</f>
        <v>9251.4</v>
      </c>
      <c r="H32" s="168">
        <v>6445.7</v>
      </c>
      <c r="I32" s="150">
        <v>10000</v>
      </c>
      <c r="J32" s="151">
        <v>6734</v>
      </c>
      <c r="K32" s="155">
        <f t="shared" si="2"/>
        <v>7124.5720000000001</v>
      </c>
      <c r="L32" s="156">
        <f t="shared" si="3"/>
        <v>7516.42346</v>
      </c>
      <c r="M32" s="154">
        <f>J32/3</f>
        <v>2244.6666666666665</v>
      </c>
      <c r="N32" s="154">
        <f>J32/3</f>
        <v>2244.6666666666665</v>
      </c>
      <c r="O32" s="154">
        <f>J32/3</f>
        <v>2244.6666666666665</v>
      </c>
      <c r="P32" s="154">
        <v>0</v>
      </c>
      <c r="S32" s="325"/>
    </row>
    <row r="33" spans="1:19" s="6" customFormat="1" ht="31.5" customHeight="1" x14ac:dyDescent="0.2">
      <c r="A33" s="147" t="s">
        <v>283</v>
      </c>
      <c r="B33" s="166" t="s">
        <v>284</v>
      </c>
      <c r="C33" s="149" t="s">
        <v>324</v>
      </c>
      <c r="D33" s="150">
        <f>D34</f>
        <v>3450</v>
      </c>
      <c r="E33" s="150">
        <f>E34</f>
        <v>1791.7</v>
      </c>
      <c r="F33" s="150">
        <v>2090</v>
      </c>
      <c r="G33" s="150">
        <f t="shared" ref="G33:P33" si="10">G34</f>
        <v>24</v>
      </c>
      <c r="H33" s="150">
        <f t="shared" si="10"/>
        <v>12</v>
      </c>
      <c r="I33" s="150">
        <f t="shared" si="10"/>
        <v>24</v>
      </c>
      <c r="J33" s="151">
        <f t="shared" si="10"/>
        <v>12</v>
      </c>
      <c r="K33" s="169">
        <f t="shared" si="10"/>
        <v>12.696000000000002</v>
      </c>
      <c r="L33" s="170">
        <f t="shared" si="10"/>
        <v>13.39428</v>
      </c>
      <c r="M33" s="154">
        <f t="shared" si="10"/>
        <v>3</v>
      </c>
      <c r="N33" s="154">
        <f t="shared" si="10"/>
        <v>3</v>
      </c>
      <c r="O33" s="154">
        <f t="shared" si="10"/>
        <v>3</v>
      </c>
      <c r="P33" s="154">
        <f t="shared" si="10"/>
        <v>3</v>
      </c>
      <c r="S33" s="325"/>
    </row>
    <row r="34" spans="1:19" s="6" customFormat="1" ht="77.25" customHeight="1" x14ac:dyDescent="0.2">
      <c r="A34" s="147" t="s">
        <v>285</v>
      </c>
      <c r="B34" s="166" t="s">
        <v>286</v>
      </c>
      <c r="C34" s="149" t="s">
        <v>433</v>
      </c>
      <c r="D34" s="168">
        <v>3450</v>
      </c>
      <c r="E34" s="168">
        <v>1791.7</v>
      </c>
      <c r="F34" s="168">
        <v>2090</v>
      </c>
      <c r="G34" s="150">
        <v>24</v>
      </c>
      <c r="H34" s="168">
        <v>12</v>
      </c>
      <c r="I34" s="150">
        <v>24</v>
      </c>
      <c r="J34" s="151">
        <v>12</v>
      </c>
      <c r="K34" s="155">
        <f t="shared" si="2"/>
        <v>12.696000000000002</v>
      </c>
      <c r="L34" s="156">
        <f t="shared" si="3"/>
        <v>13.39428</v>
      </c>
      <c r="M34" s="154">
        <f>J34/4</f>
        <v>3</v>
      </c>
      <c r="N34" s="154">
        <f>J34/4</f>
        <v>3</v>
      </c>
      <c r="O34" s="154">
        <f>J34/4</f>
        <v>3</v>
      </c>
      <c r="P34" s="154">
        <f>J34/4</f>
        <v>3</v>
      </c>
      <c r="S34" s="325"/>
    </row>
    <row r="35" spans="1:19" s="6" customFormat="1" ht="26.25" hidden="1" thickBot="1" x14ac:dyDescent="0.25">
      <c r="A35" s="171">
        <v>4</v>
      </c>
      <c r="B35" s="172" t="s">
        <v>57</v>
      </c>
      <c r="C35" s="173" t="s">
        <v>234</v>
      </c>
      <c r="D35" s="167">
        <f>D36</f>
        <v>140</v>
      </c>
      <c r="E35" s="167">
        <f t="shared" ref="E35:H37" si="11">E36</f>
        <v>88</v>
      </c>
      <c r="F35" s="167">
        <f t="shared" si="11"/>
        <v>132</v>
      </c>
      <c r="G35" s="167">
        <f t="shared" si="11"/>
        <v>0</v>
      </c>
      <c r="H35" s="167">
        <f t="shared" si="11"/>
        <v>0</v>
      </c>
      <c r="I35" s="150">
        <f>H35/8*12</f>
        <v>0</v>
      </c>
      <c r="J35" s="151">
        <f t="shared" si="2"/>
        <v>0</v>
      </c>
      <c r="K35" s="155">
        <f t="shared" si="2"/>
        <v>0</v>
      </c>
      <c r="L35" s="156">
        <f t="shared" si="3"/>
        <v>0</v>
      </c>
      <c r="M35" s="154"/>
      <c r="N35" s="154"/>
      <c r="O35" s="154"/>
      <c r="P35" s="154"/>
      <c r="S35" s="325"/>
    </row>
    <row r="36" spans="1:19" s="6" customFormat="1" ht="31.5" hidden="1" customHeight="1" x14ac:dyDescent="0.2">
      <c r="A36" s="174" t="s">
        <v>68</v>
      </c>
      <c r="B36" s="175" t="s">
        <v>235</v>
      </c>
      <c r="C36" s="176" t="s">
        <v>236</v>
      </c>
      <c r="D36" s="150">
        <f>D37</f>
        <v>140</v>
      </c>
      <c r="E36" s="150">
        <f t="shared" si="11"/>
        <v>88</v>
      </c>
      <c r="F36" s="150">
        <f t="shared" si="11"/>
        <v>132</v>
      </c>
      <c r="G36" s="168">
        <f t="shared" si="11"/>
        <v>0</v>
      </c>
      <c r="H36" s="150"/>
      <c r="I36" s="150">
        <f>H36/8*12</f>
        <v>0</v>
      </c>
      <c r="J36" s="151">
        <f t="shared" si="2"/>
        <v>0</v>
      </c>
      <c r="K36" s="155">
        <f t="shared" si="2"/>
        <v>0</v>
      </c>
      <c r="L36" s="156">
        <f t="shared" si="3"/>
        <v>0</v>
      </c>
      <c r="M36" s="154"/>
      <c r="N36" s="154"/>
      <c r="O36" s="154"/>
      <c r="P36" s="154"/>
      <c r="S36" s="325"/>
    </row>
    <row r="37" spans="1:19" s="5" customFormat="1" ht="44.25" hidden="1" customHeight="1" x14ac:dyDescent="0.2">
      <c r="A37" s="174" t="s">
        <v>69</v>
      </c>
      <c r="B37" s="175" t="s">
        <v>237</v>
      </c>
      <c r="C37" s="176" t="s">
        <v>238</v>
      </c>
      <c r="D37" s="150">
        <f>D38+D43</f>
        <v>140</v>
      </c>
      <c r="E37" s="150">
        <v>88</v>
      </c>
      <c r="F37" s="150">
        <f>E37/8*12</f>
        <v>132</v>
      </c>
      <c r="G37" s="168">
        <f t="shared" si="11"/>
        <v>0</v>
      </c>
      <c r="H37" s="150"/>
      <c r="I37" s="150">
        <f>H37/8*12</f>
        <v>0</v>
      </c>
      <c r="J37" s="151">
        <f t="shared" si="2"/>
        <v>0</v>
      </c>
      <c r="K37" s="155">
        <f t="shared" si="2"/>
        <v>0</v>
      </c>
      <c r="L37" s="156">
        <f t="shared" si="3"/>
        <v>0</v>
      </c>
      <c r="M37" s="154"/>
      <c r="N37" s="154"/>
      <c r="O37" s="154"/>
      <c r="P37" s="154"/>
      <c r="S37" s="326"/>
    </row>
    <row r="38" spans="1:19" s="5" customFormat="1" ht="76.5" hidden="1" customHeight="1" thickBot="1" x14ac:dyDescent="0.25">
      <c r="A38" s="174" t="s">
        <v>70</v>
      </c>
      <c r="B38" s="175" t="s">
        <v>239</v>
      </c>
      <c r="C38" s="176" t="s">
        <v>150</v>
      </c>
      <c r="D38" s="150">
        <v>125</v>
      </c>
      <c r="E38" s="150">
        <v>88</v>
      </c>
      <c r="F38" s="150">
        <f>E38/8*12</f>
        <v>132</v>
      </c>
      <c r="G38" s="168">
        <v>0</v>
      </c>
      <c r="H38" s="150"/>
      <c r="I38" s="150">
        <f>H38/8*12</f>
        <v>0</v>
      </c>
      <c r="J38" s="151">
        <f t="shared" si="2"/>
        <v>0</v>
      </c>
      <c r="K38" s="155">
        <f t="shared" si="2"/>
        <v>0</v>
      </c>
      <c r="L38" s="156">
        <f t="shared" si="3"/>
        <v>0</v>
      </c>
      <c r="M38" s="154"/>
      <c r="N38" s="154"/>
      <c r="O38" s="154"/>
      <c r="P38" s="154"/>
      <c r="S38" s="326"/>
    </row>
    <row r="39" spans="1:19" s="5" customFormat="1" ht="43.5" customHeight="1" x14ac:dyDescent="0.2">
      <c r="A39" s="177" t="s">
        <v>287</v>
      </c>
      <c r="B39" s="172" t="s">
        <v>57</v>
      </c>
      <c r="C39" s="178" t="s">
        <v>417</v>
      </c>
      <c r="D39" s="150">
        <v>15</v>
      </c>
      <c r="E39" s="150">
        <v>0</v>
      </c>
      <c r="F39" s="150">
        <v>15</v>
      </c>
      <c r="G39" s="179">
        <f t="shared" ref="G39:L41" si="12">G40</f>
        <v>0</v>
      </c>
      <c r="H39" s="179">
        <f t="shared" si="12"/>
        <v>0</v>
      </c>
      <c r="I39" s="179">
        <f t="shared" si="12"/>
        <v>1402.9</v>
      </c>
      <c r="J39" s="179">
        <f>J40+J44</f>
        <v>798.6</v>
      </c>
      <c r="K39" s="179">
        <f t="shared" si="12"/>
        <v>557.14280000000008</v>
      </c>
      <c r="L39" s="179">
        <f t="shared" si="12"/>
        <v>587.78565400000002</v>
      </c>
      <c r="M39" s="180"/>
      <c r="N39" s="180"/>
      <c r="O39" s="180"/>
      <c r="P39" s="180"/>
      <c r="S39" s="326"/>
    </row>
    <row r="40" spans="1:19" s="5" customFormat="1" ht="31.5" customHeight="1" x14ac:dyDescent="0.2">
      <c r="A40" s="181" t="s">
        <v>68</v>
      </c>
      <c r="B40" s="166" t="s">
        <v>418</v>
      </c>
      <c r="C40" s="182" t="s">
        <v>419</v>
      </c>
      <c r="D40" s="150" t="e">
        <f>D41+#REF!</f>
        <v>#REF!</v>
      </c>
      <c r="E40" s="150" t="e">
        <f>E41+#REF!</f>
        <v>#REF!</v>
      </c>
      <c r="F40" s="150" t="e">
        <f>F41+#REF!</f>
        <v>#REF!</v>
      </c>
      <c r="G40" s="151">
        <f t="shared" si="12"/>
        <v>0</v>
      </c>
      <c r="H40" s="151">
        <f t="shared" si="12"/>
        <v>0</v>
      </c>
      <c r="I40" s="151">
        <f t="shared" si="12"/>
        <v>1402.9</v>
      </c>
      <c r="J40" s="151">
        <f t="shared" si="12"/>
        <v>526.6</v>
      </c>
      <c r="K40" s="143">
        <f t="shared" si="12"/>
        <v>557.14280000000008</v>
      </c>
      <c r="L40" s="143">
        <f t="shared" si="12"/>
        <v>587.78565400000002</v>
      </c>
      <c r="M40" s="180"/>
      <c r="N40" s="180"/>
      <c r="O40" s="180"/>
      <c r="P40" s="180"/>
      <c r="R40" s="319">
        <f>(J9+J50)*0.233</f>
        <v>21211.807399999998</v>
      </c>
      <c r="S40" s="326"/>
    </row>
    <row r="41" spans="1:19" s="5" customFormat="1" ht="45" customHeight="1" x14ac:dyDescent="0.2">
      <c r="A41" s="181" t="s">
        <v>69</v>
      </c>
      <c r="B41" s="166" t="s">
        <v>420</v>
      </c>
      <c r="C41" s="183" t="s">
        <v>421</v>
      </c>
      <c r="D41" s="167">
        <f>D42+D51+D48</f>
        <v>11683.4</v>
      </c>
      <c r="E41" s="167">
        <f>E42+E51+E48</f>
        <v>8755.2000000000007</v>
      </c>
      <c r="F41" s="167">
        <f>F42+F51+F48</f>
        <v>11683.4</v>
      </c>
      <c r="G41" s="151">
        <f>G42</f>
        <v>0</v>
      </c>
      <c r="H41" s="151">
        <f>H42</f>
        <v>0</v>
      </c>
      <c r="I41" s="151">
        <f t="shared" si="12"/>
        <v>1402.9</v>
      </c>
      <c r="J41" s="151">
        <f t="shared" si="12"/>
        <v>526.6</v>
      </c>
      <c r="K41" s="151">
        <f t="shared" si="12"/>
        <v>557.14280000000008</v>
      </c>
      <c r="L41" s="151">
        <f t="shared" si="12"/>
        <v>587.78565400000002</v>
      </c>
      <c r="M41" s="180"/>
      <c r="N41" s="180"/>
      <c r="O41" s="180"/>
      <c r="P41" s="180"/>
      <c r="S41" s="326"/>
    </row>
    <row r="42" spans="1:19" s="4" customFormat="1" ht="73.5" customHeight="1" x14ac:dyDescent="0.2">
      <c r="A42" s="181" t="s">
        <v>70</v>
      </c>
      <c r="B42" s="166" t="s">
        <v>422</v>
      </c>
      <c r="C42" s="183" t="s">
        <v>150</v>
      </c>
      <c r="D42" s="184">
        <f>D47</f>
        <v>5841.7</v>
      </c>
      <c r="E42" s="184">
        <f>E47</f>
        <v>4377.6000000000004</v>
      </c>
      <c r="F42" s="184">
        <f>F47</f>
        <v>5841.7</v>
      </c>
      <c r="G42" s="151">
        <v>0</v>
      </c>
      <c r="H42" s="151">
        <v>0</v>
      </c>
      <c r="I42" s="151">
        <v>1402.9</v>
      </c>
      <c r="J42" s="151">
        <v>526.6</v>
      </c>
      <c r="K42" s="151">
        <f>J42*1.058</f>
        <v>557.14280000000008</v>
      </c>
      <c r="L42" s="151">
        <f>K42*1.055</f>
        <v>587.78565400000002</v>
      </c>
      <c r="M42" s="185"/>
      <c r="N42" s="185"/>
      <c r="O42" s="185"/>
      <c r="P42" s="185"/>
      <c r="S42" s="324"/>
    </row>
    <row r="43" spans="1:19" s="5" customFormat="1" ht="24.75" hidden="1" customHeight="1" thickBot="1" x14ac:dyDescent="0.25">
      <c r="A43" s="139" t="s">
        <v>287</v>
      </c>
      <c r="B43" s="140" t="s">
        <v>19</v>
      </c>
      <c r="C43" s="141" t="s">
        <v>18</v>
      </c>
      <c r="D43" s="186">
        <v>15</v>
      </c>
      <c r="E43" s="186">
        <v>0</v>
      </c>
      <c r="F43" s="186">
        <v>15</v>
      </c>
      <c r="G43" s="142">
        <f t="shared" ref="G43:P44" si="13">G44</f>
        <v>30</v>
      </c>
      <c r="H43" s="142">
        <f t="shared" si="13"/>
        <v>19.8</v>
      </c>
      <c r="I43" s="142">
        <f t="shared" si="13"/>
        <v>35</v>
      </c>
      <c r="J43" s="143">
        <f t="shared" si="13"/>
        <v>272</v>
      </c>
      <c r="K43" s="187">
        <f t="shared" si="13"/>
        <v>287.77600000000001</v>
      </c>
      <c r="L43" s="188">
        <f t="shared" si="13"/>
        <v>303.60368</v>
      </c>
      <c r="M43" s="146">
        <f t="shared" si="13"/>
        <v>68</v>
      </c>
      <c r="N43" s="146">
        <f t="shared" si="13"/>
        <v>68</v>
      </c>
      <c r="O43" s="146">
        <f t="shared" si="13"/>
        <v>68</v>
      </c>
      <c r="P43" s="146">
        <f t="shared" si="13"/>
        <v>68</v>
      </c>
      <c r="S43" s="326"/>
    </row>
    <row r="44" spans="1:19" s="5" customFormat="1" ht="30" customHeight="1" x14ac:dyDescent="0.2">
      <c r="A44" s="147" t="s">
        <v>429</v>
      </c>
      <c r="B44" s="166" t="s">
        <v>49</v>
      </c>
      <c r="C44" s="189" t="s">
        <v>54</v>
      </c>
      <c r="D44" s="190" t="e">
        <f>D45+#REF!</f>
        <v>#REF!</v>
      </c>
      <c r="E44" s="190" t="e">
        <f>E45+#REF!</f>
        <v>#REF!</v>
      </c>
      <c r="F44" s="190" t="e">
        <f>F45+#REF!</f>
        <v>#REF!</v>
      </c>
      <c r="G44" s="150">
        <f t="shared" si="13"/>
        <v>30</v>
      </c>
      <c r="H44" s="150">
        <f t="shared" si="13"/>
        <v>19.8</v>
      </c>
      <c r="I44" s="150">
        <f t="shared" si="13"/>
        <v>35</v>
      </c>
      <c r="J44" s="151">
        <f t="shared" si="13"/>
        <v>272</v>
      </c>
      <c r="K44" s="191">
        <f t="shared" si="13"/>
        <v>287.77600000000001</v>
      </c>
      <c r="L44" s="153">
        <f t="shared" si="13"/>
        <v>303.60368</v>
      </c>
      <c r="M44" s="154">
        <f t="shared" si="13"/>
        <v>68</v>
      </c>
      <c r="N44" s="154">
        <f t="shared" si="13"/>
        <v>68</v>
      </c>
      <c r="O44" s="154">
        <f t="shared" si="13"/>
        <v>68</v>
      </c>
      <c r="P44" s="154">
        <f t="shared" si="13"/>
        <v>68</v>
      </c>
      <c r="S44" s="326"/>
    </row>
    <row r="45" spans="1:19" s="5" customFormat="1" ht="57" customHeight="1" x14ac:dyDescent="0.2">
      <c r="A45" s="147" t="s">
        <v>430</v>
      </c>
      <c r="B45" s="166" t="s">
        <v>53</v>
      </c>
      <c r="C45" s="189" t="s">
        <v>428</v>
      </c>
      <c r="D45" s="167">
        <f>D46+D52+D49</f>
        <v>6635.2</v>
      </c>
      <c r="E45" s="167">
        <f>E46+E52+E49</f>
        <v>4901.8</v>
      </c>
      <c r="F45" s="167">
        <f>F46+F52+F49</f>
        <v>6635.2</v>
      </c>
      <c r="G45" s="150">
        <f t="shared" ref="G45:L45" si="14">G46+G47</f>
        <v>30</v>
      </c>
      <c r="H45" s="150">
        <f t="shared" si="14"/>
        <v>19.8</v>
      </c>
      <c r="I45" s="150">
        <f t="shared" si="14"/>
        <v>35</v>
      </c>
      <c r="J45" s="151">
        <f t="shared" si="14"/>
        <v>272</v>
      </c>
      <c r="K45" s="192">
        <f t="shared" si="14"/>
        <v>287.77600000000001</v>
      </c>
      <c r="L45" s="193">
        <f t="shared" si="14"/>
        <v>303.60368</v>
      </c>
      <c r="M45" s="154">
        <f>M46+M47</f>
        <v>68</v>
      </c>
      <c r="N45" s="154">
        <f>N46+N47</f>
        <v>68</v>
      </c>
      <c r="O45" s="154">
        <f>O46+O47</f>
        <v>68</v>
      </c>
      <c r="P45" s="154">
        <f>P46+P47</f>
        <v>68</v>
      </c>
      <c r="Q45" s="118"/>
      <c r="S45" s="326"/>
    </row>
    <row r="46" spans="1:19" s="4" customFormat="1" ht="53.25" customHeight="1" thickBot="1" x14ac:dyDescent="0.25">
      <c r="A46" s="147" t="s">
        <v>431</v>
      </c>
      <c r="B46" s="148" t="s">
        <v>162</v>
      </c>
      <c r="C46" s="189" t="s">
        <v>202</v>
      </c>
      <c r="D46" s="184">
        <f>D48</f>
        <v>5841.7</v>
      </c>
      <c r="E46" s="184">
        <f>E48</f>
        <v>4377.6000000000004</v>
      </c>
      <c r="F46" s="184">
        <f>F48</f>
        <v>5841.7</v>
      </c>
      <c r="G46" s="150">
        <v>20</v>
      </c>
      <c r="H46" s="150">
        <v>19.8</v>
      </c>
      <c r="I46" s="150">
        <v>30</v>
      </c>
      <c r="J46" s="151">
        <f>10+262</f>
        <v>272</v>
      </c>
      <c r="K46" s="155">
        <f t="shared" si="2"/>
        <v>287.77600000000001</v>
      </c>
      <c r="L46" s="156">
        <f t="shared" si="3"/>
        <v>303.60368</v>
      </c>
      <c r="M46" s="154">
        <f>J46/4</f>
        <v>68</v>
      </c>
      <c r="N46" s="154">
        <f>J46/4</f>
        <v>68</v>
      </c>
      <c r="O46" s="154">
        <f>J46/4</f>
        <v>68</v>
      </c>
      <c r="P46" s="154">
        <f>J46/4</f>
        <v>68</v>
      </c>
      <c r="S46" s="324"/>
    </row>
    <row r="47" spans="1:19" s="6" customFormat="1" ht="61.5" hidden="1" customHeight="1" thickBot="1" x14ac:dyDescent="0.25">
      <c r="A47" s="147" t="s">
        <v>432</v>
      </c>
      <c r="B47" s="148" t="s">
        <v>172</v>
      </c>
      <c r="C47" s="149" t="s">
        <v>203</v>
      </c>
      <c r="D47" s="184">
        <f>D48</f>
        <v>5841.7</v>
      </c>
      <c r="E47" s="184">
        <f>E48</f>
        <v>4377.6000000000004</v>
      </c>
      <c r="F47" s="184">
        <f>F48</f>
        <v>5841.7</v>
      </c>
      <c r="G47" s="150">
        <v>10</v>
      </c>
      <c r="H47" s="150">
        <v>0</v>
      </c>
      <c r="I47" s="150">
        <v>5</v>
      </c>
      <c r="J47" s="151">
        <v>0</v>
      </c>
      <c r="K47" s="155">
        <f t="shared" si="2"/>
        <v>0</v>
      </c>
      <c r="L47" s="156">
        <f t="shared" si="3"/>
        <v>0</v>
      </c>
      <c r="M47" s="150">
        <v>0</v>
      </c>
      <c r="N47" s="150">
        <v>0</v>
      </c>
      <c r="O47" s="150">
        <v>0</v>
      </c>
      <c r="P47" s="150">
        <v>0</v>
      </c>
      <c r="S47" s="325"/>
    </row>
    <row r="48" spans="1:19" s="6" customFormat="1" ht="50.25" customHeight="1" thickBot="1" x14ac:dyDescent="0.25">
      <c r="A48" s="131" t="s">
        <v>47</v>
      </c>
      <c r="B48" s="132" t="s">
        <v>20</v>
      </c>
      <c r="C48" s="133" t="s">
        <v>163</v>
      </c>
      <c r="D48" s="194">
        <v>5841.7</v>
      </c>
      <c r="E48" s="194">
        <v>4377.6000000000004</v>
      </c>
      <c r="F48" s="194">
        <v>5841.7</v>
      </c>
      <c r="G48" s="134">
        <f t="shared" ref="G48:P48" si="15">G49</f>
        <v>22002.800000000003</v>
      </c>
      <c r="H48" s="134">
        <f t="shared" si="15"/>
        <v>6463.3</v>
      </c>
      <c r="I48" s="134">
        <f t="shared" si="15"/>
        <v>19569.800000000003</v>
      </c>
      <c r="J48" s="135">
        <f t="shared" si="15"/>
        <v>66122.899999999994</v>
      </c>
      <c r="K48" s="195">
        <f t="shared" si="15"/>
        <v>60474.2</v>
      </c>
      <c r="L48" s="196">
        <f t="shared" si="15"/>
        <v>60616</v>
      </c>
      <c r="M48" s="138">
        <f t="shared" si="15"/>
        <v>16530.724999999999</v>
      </c>
      <c r="N48" s="138">
        <f t="shared" si="15"/>
        <v>16530.724999999999</v>
      </c>
      <c r="O48" s="138">
        <f t="shared" si="15"/>
        <v>16530.724999999999</v>
      </c>
      <c r="P48" s="138">
        <f t="shared" si="15"/>
        <v>16530.724999999999</v>
      </c>
      <c r="S48" s="325"/>
    </row>
    <row r="49" spans="1:19" s="6" customFormat="1" ht="42.75" customHeight="1" thickBot="1" x14ac:dyDescent="0.25">
      <c r="A49" s="139">
        <v>5</v>
      </c>
      <c r="B49" s="140" t="s">
        <v>152</v>
      </c>
      <c r="C49" s="141" t="s">
        <v>325</v>
      </c>
      <c r="D49" s="142">
        <v>0</v>
      </c>
      <c r="E49" s="142">
        <v>0</v>
      </c>
      <c r="F49" s="142">
        <v>0</v>
      </c>
      <c r="G49" s="142">
        <f t="shared" ref="G49:P49" si="16">G50+G56+G53</f>
        <v>22002.800000000003</v>
      </c>
      <c r="H49" s="142">
        <f t="shared" si="16"/>
        <v>6463.3</v>
      </c>
      <c r="I49" s="142">
        <f t="shared" si="16"/>
        <v>19569.800000000003</v>
      </c>
      <c r="J49" s="143">
        <f>J50+J56+J53</f>
        <v>66122.899999999994</v>
      </c>
      <c r="K49" s="197">
        <f t="shared" si="16"/>
        <v>60474.2</v>
      </c>
      <c r="L49" s="198">
        <f t="shared" si="16"/>
        <v>60616</v>
      </c>
      <c r="M49" s="146">
        <f t="shared" si="16"/>
        <v>16530.724999999999</v>
      </c>
      <c r="N49" s="146">
        <f t="shared" si="16"/>
        <v>16530.724999999999</v>
      </c>
      <c r="O49" s="146">
        <f t="shared" si="16"/>
        <v>16530.724999999999</v>
      </c>
      <c r="P49" s="146">
        <f t="shared" si="16"/>
        <v>16530.724999999999</v>
      </c>
      <c r="S49" s="325"/>
    </row>
    <row r="50" spans="1:19" s="5" customFormat="1" ht="36.75" customHeight="1" x14ac:dyDescent="0.2">
      <c r="A50" s="147" t="s">
        <v>71</v>
      </c>
      <c r="B50" s="148" t="s">
        <v>58</v>
      </c>
      <c r="C50" s="149" t="s">
        <v>153</v>
      </c>
      <c r="D50" s="150">
        <f>D51</f>
        <v>0</v>
      </c>
      <c r="E50" s="150">
        <f>E51</f>
        <v>0</v>
      </c>
      <c r="F50" s="150">
        <f>F51</f>
        <v>0</v>
      </c>
      <c r="G50" s="150">
        <f t="shared" ref="G50:L50" si="17">G52</f>
        <v>8472</v>
      </c>
      <c r="H50" s="150">
        <f t="shared" si="17"/>
        <v>5648</v>
      </c>
      <c r="I50" s="150">
        <f>H50/8*12</f>
        <v>8472</v>
      </c>
      <c r="J50" s="151">
        <f t="shared" si="17"/>
        <v>64592.2</v>
      </c>
      <c r="K50" s="199">
        <f t="shared" si="17"/>
        <v>58000</v>
      </c>
      <c r="L50" s="200">
        <f t="shared" si="17"/>
        <v>58000</v>
      </c>
      <c r="M50" s="154">
        <f>M52</f>
        <v>16148.05</v>
      </c>
      <c r="N50" s="154">
        <f>N52</f>
        <v>16148.05</v>
      </c>
      <c r="O50" s="154">
        <f>O52</f>
        <v>16148.05</v>
      </c>
      <c r="P50" s="154">
        <f>P52</f>
        <v>16148.05</v>
      </c>
      <c r="S50" s="326"/>
    </row>
    <row r="51" spans="1:19" s="5" customFormat="1" ht="63" customHeight="1" x14ac:dyDescent="0.2">
      <c r="A51" s="147" t="s">
        <v>79</v>
      </c>
      <c r="B51" s="148" t="s">
        <v>61</v>
      </c>
      <c r="C51" s="149" t="s">
        <v>154</v>
      </c>
      <c r="D51" s="150">
        <v>0</v>
      </c>
      <c r="E51" s="150">
        <v>0</v>
      </c>
      <c r="F51" s="150">
        <v>0</v>
      </c>
      <c r="G51" s="150">
        <f t="shared" ref="G51:P51" si="18">G52</f>
        <v>8472</v>
      </c>
      <c r="H51" s="150">
        <f t="shared" si="18"/>
        <v>5648</v>
      </c>
      <c r="I51" s="150">
        <f>H51/8*12</f>
        <v>8472</v>
      </c>
      <c r="J51" s="151">
        <f t="shared" si="18"/>
        <v>64592.2</v>
      </c>
      <c r="K51" s="201">
        <f t="shared" si="18"/>
        <v>58000</v>
      </c>
      <c r="L51" s="202">
        <f t="shared" si="18"/>
        <v>58000</v>
      </c>
      <c r="M51" s="154">
        <f t="shared" si="18"/>
        <v>16148.05</v>
      </c>
      <c r="N51" s="154">
        <f t="shared" si="18"/>
        <v>16148.05</v>
      </c>
      <c r="O51" s="154">
        <f t="shared" si="18"/>
        <v>16148.05</v>
      </c>
      <c r="P51" s="154">
        <f t="shared" si="18"/>
        <v>16148.05</v>
      </c>
      <c r="S51" s="326"/>
    </row>
    <row r="52" spans="1:19" s="5" customFormat="1" ht="57" customHeight="1" thickBot="1" x14ac:dyDescent="0.25">
      <c r="A52" s="147" t="s">
        <v>151</v>
      </c>
      <c r="B52" s="148" t="s">
        <v>60</v>
      </c>
      <c r="C52" s="149" t="s">
        <v>209</v>
      </c>
      <c r="D52" s="203">
        <f>D53+D57</f>
        <v>793.50000000000011</v>
      </c>
      <c r="E52" s="203">
        <f>E53+E57</f>
        <v>524.20000000000005</v>
      </c>
      <c r="F52" s="203">
        <f>F53+F57</f>
        <v>793.50000000000011</v>
      </c>
      <c r="G52" s="150">
        <v>8472</v>
      </c>
      <c r="H52" s="150">
        <v>5648</v>
      </c>
      <c r="I52" s="150">
        <f>H52/8*12</f>
        <v>8472</v>
      </c>
      <c r="J52" s="151">
        <v>64592.2</v>
      </c>
      <c r="K52" s="204">
        <v>58000</v>
      </c>
      <c r="L52" s="205">
        <v>58000</v>
      </c>
      <c r="M52" s="154">
        <f>J52/4</f>
        <v>16148.05</v>
      </c>
      <c r="N52" s="154">
        <f>J52/4</f>
        <v>16148.05</v>
      </c>
      <c r="O52" s="154">
        <f>J52/4</f>
        <v>16148.05</v>
      </c>
      <c r="P52" s="154">
        <f>J52/4</f>
        <v>16148.05</v>
      </c>
      <c r="S52" s="326"/>
    </row>
    <row r="53" spans="1:19" s="5" customFormat="1" ht="53.25" hidden="1" customHeight="1" thickBot="1" x14ac:dyDescent="0.25">
      <c r="A53" s="139">
        <v>6</v>
      </c>
      <c r="B53" s="140" t="s">
        <v>217</v>
      </c>
      <c r="C53" s="141" t="s">
        <v>326</v>
      </c>
      <c r="D53" s="186">
        <f>D54</f>
        <v>565.40000000000009</v>
      </c>
      <c r="E53" s="186">
        <f t="shared" ref="E53:L54" si="19">E54</f>
        <v>410.1</v>
      </c>
      <c r="F53" s="186">
        <f t="shared" si="19"/>
        <v>565.40000000000009</v>
      </c>
      <c r="G53" s="142">
        <f t="shared" si="19"/>
        <v>11982.7</v>
      </c>
      <c r="H53" s="142">
        <f t="shared" si="19"/>
        <v>0</v>
      </c>
      <c r="I53" s="142">
        <f t="shared" si="19"/>
        <v>9982.7000000000007</v>
      </c>
      <c r="J53" s="143">
        <f t="shared" si="19"/>
        <v>0</v>
      </c>
      <c r="K53" s="187">
        <f t="shared" si="19"/>
        <v>0</v>
      </c>
      <c r="L53" s="188">
        <f t="shared" si="19"/>
        <v>0</v>
      </c>
      <c r="M53" s="146">
        <v>0</v>
      </c>
      <c r="N53" s="146">
        <v>0</v>
      </c>
      <c r="O53" s="146">
        <v>0</v>
      </c>
      <c r="P53" s="146">
        <v>0</v>
      </c>
      <c r="S53" s="326"/>
    </row>
    <row r="54" spans="1:19" s="6" customFormat="1" ht="13.5" hidden="1" thickBot="1" x14ac:dyDescent="0.25">
      <c r="A54" s="206" t="s">
        <v>141</v>
      </c>
      <c r="B54" s="207" t="s">
        <v>218</v>
      </c>
      <c r="C54" s="208" t="s">
        <v>219</v>
      </c>
      <c r="D54" s="168">
        <f>D55+D56</f>
        <v>565.40000000000009</v>
      </c>
      <c r="E54" s="168">
        <f>E55+E56</f>
        <v>410.1</v>
      </c>
      <c r="F54" s="168">
        <f>F55+F56</f>
        <v>565.40000000000009</v>
      </c>
      <c r="G54" s="168">
        <f t="shared" si="19"/>
        <v>11982.7</v>
      </c>
      <c r="H54" s="168">
        <f t="shared" si="19"/>
        <v>0</v>
      </c>
      <c r="I54" s="168">
        <f t="shared" si="19"/>
        <v>9982.7000000000007</v>
      </c>
      <c r="J54" s="209">
        <f t="shared" si="19"/>
        <v>0</v>
      </c>
      <c r="K54" s="210">
        <f t="shared" si="19"/>
        <v>0</v>
      </c>
      <c r="L54" s="211">
        <f t="shared" si="19"/>
        <v>0</v>
      </c>
      <c r="M54" s="154">
        <v>0</v>
      </c>
      <c r="N54" s="154">
        <v>0</v>
      </c>
      <c r="O54" s="154">
        <v>0</v>
      </c>
      <c r="P54" s="154">
        <v>0</v>
      </c>
      <c r="S54" s="325"/>
    </row>
    <row r="55" spans="1:19" ht="53.25" hidden="1" customHeight="1" thickBot="1" x14ac:dyDescent="0.25">
      <c r="A55" s="147" t="s">
        <v>51</v>
      </c>
      <c r="B55" s="148" t="s">
        <v>228</v>
      </c>
      <c r="C55" s="149" t="s">
        <v>229</v>
      </c>
      <c r="D55" s="150">
        <v>552.70000000000005</v>
      </c>
      <c r="E55" s="150">
        <v>410.1</v>
      </c>
      <c r="F55" s="150">
        <v>552.70000000000005</v>
      </c>
      <c r="G55" s="168">
        <v>11982.7</v>
      </c>
      <c r="H55" s="168">
        <v>0</v>
      </c>
      <c r="I55" s="150">
        <v>9982.7000000000007</v>
      </c>
      <c r="J55" s="209">
        <v>0</v>
      </c>
      <c r="K55" s="212"/>
      <c r="L55" s="213"/>
      <c r="M55" s="154">
        <v>0</v>
      </c>
      <c r="N55" s="154">
        <v>0</v>
      </c>
      <c r="O55" s="154">
        <v>0</v>
      </c>
      <c r="P55" s="154">
        <v>0</v>
      </c>
    </row>
    <row r="56" spans="1:19" ht="42" customHeight="1" thickBot="1" x14ac:dyDescent="0.25">
      <c r="A56" s="139">
        <v>7</v>
      </c>
      <c r="B56" s="140" t="s">
        <v>85</v>
      </c>
      <c r="C56" s="141" t="s">
        <v>327</v>
      </c>
      <c r="D56" s="186">
        <v>12.7</v>
      </c>
      <c r="E56" s="186">
        <v>0</v>
      </c>
      <c r="F56" s="186">
        <v>12.7</v>
      </c>
      <c r="G56" s="142">
        <f t="shared" ref="G56:L56" si="20">G57+G61</f>
        <v>1548.1</v>
      </c>
      <c r="H56" s="142">
        <f t="shared" si="20"/>
        <v>815.3</v>
      </c>
      <c r="I56" s="142">
        <f t="shared" si="20"/>
        <v>1115.0999999999999</v>
      </c>
      <c r="J56" s="143">
        <f>J57+J61</f>
        <v>1530.7</v>
      </c>
      <c r="K56" s="187">
        <f t="shared" si="20"/>
        <v>2474.1999999999998</v>
      </c>
      <c r="L56" s="188">
        <f t="shared" si="20"/>
        <v>2616</v>
      </c>
      <c r="M56" s="146">
        <f>M57+M61</f>
        <v>382.67500000000001</v>
      </c>
      <c r="N56" s="146">
        <f>N57+N61</f>
        <v>382.67500000000001</v>
      </c>
      <c r="O56" s="146">
        <f>O57+O61</f>
        <v>382.67500000000001</v>
      </c>
      <c r="P56" s="146">
        <f>P57+P61</f>
        <v>382.67500000000001</v>
      </c>
    </row>
    <row r="57" spans="1:19" ht="43.5" customHeight="1" x14ac:dyDescent="0.2">
      <c r="A57" s="174" t="s">
        <v>156</v>
      </c>
      <c r="B57" s="175" t="s">
        <v>87</v>
      </c>
      <c r="C57" s="176" t="s">
        <v>86</v>
      </c>
      <c r="D57" s="184">
        <f>D59</f>
        <v>228.1</v>
      </c>
      <c r="E57" s="184">
        <f>E59</f>
        <v>114.1</v>
      </c>
      <c r="F57" s="184">
        <f>F59</f>
        <v>228.1</v>
      </c>
      <c r="G57" s="168">
        <f t="shared" ref="G57:P57" si="21">G58</f>
        <v>662.2</v>
      </c>
      <c r="H57" s="168">
        <f t="shared" si="21"/>
        <v>485.4</v>
      </c>
      <c r="I57" s="150">
        <f>H57/8*12</f>
        <v>728.09999999999991</v>
      </c>
      <c r="J57" s="209">
        <f t="shared" si="21"/>
        <v>804.2</v>
      </c>
      <c r="K57" s="210">
        <f t="shared" si="21"/>
        <v>740.1</v>
      </c>
      <c r="L57" s="211">
        <f t="shared" si="21"/>
        <v>780.8</v>
      </c>
      <c r="M57" s="154">
        <f t="shared" si="21"/>
        <v>201.05</v>
      </c>
      <c r="N57" s="154">
        <f t="shared" si="21"/>
        <v>201.05</v>
      </c>
      <c r="O57" s="154">
        <f t="shared" si="21"/>
        <v>201.05</v>
      </c>
      <c r="P57" s="154">
        <f t="shared" si="21"/>
        <v>201.05</v>
      </c>
    </row>
    <row r="58" spans="1:19" ht="65.099999999999994" customHeight="1" x14ac:dyDescent="0.2">
      <c r="A58" s="174" t="s">
        <v>72</v>
      </c>
      <c r="B58" s="175" t="s">
        <v>88</v>
      </c>
      <c r="C58" s="176" t="s">
        <v>288</v>
      </c>
      <c r="D58" s="150">
        <v>228.1</v>
      </c>
      <c r="E58" s="150">
        <v>114.1</v>
      </c>
      <c r="F58" s="150">
        <v>228.1</v>
      </c>
      <c r="G58" s="168">
        <f t="shared" ref="G58:L58" si="22">G59+G60</f>
        <v>662.2</v>
      </c>
      <c r="H58" s="168">
        <f t="shared" si="22"/>
        <v>485.4</v>
      </c>
      <c r="I58" s="168">
        <f t="shared" si="22"/>
        <v>662.2</v>
      </c>
      <c r="J58" s="209">
        <f>J59</f>
        <v>804.2</v>
      </c>
      <c r="K58" s="214">
        <f t="shared" si="22"/>
        <v>740.1</v>
      </c>
      <c r="L58" s="215">
        <f t="shared" si="22"/>
        <v>780.8</v>
      </c>
      <c r="M58" s="154">
        <f>J58/4</f>
        <v>201.05</v>
      </c>
      <c r="N58" s="154">
        <f>J58/4</f>
        <v>201.05</v>
      </c>
      <c r="O58" s="154">
        <f>J58/4</f>
        <v>201.05</v>
      </c>
      <c r="P58" s="154">
        <f>J58/4</f>
        <v>201.05</v>
      </c>
    </row>
    <row r="59" spans="1:19" ht="68.25" customHeight="1" x14ac:dyDescent="0.2">
      <c r="A59" s="147" t="s">
        <v>275</v>
      </c>
      <c r="B59" s="148" t="s">
        <v>132</v>
      </c>
      <c r="C59" s="216" t="s">
        <v>289</v>
      </c>
      <c r="D59" s="150">
        <v>228.1</v>
      </c>
      <c r="E59" s="150">
        <v>114.1</v>
      </c>
      <c r="F59" s="150">
        <v>228.1</v>
      </c>
      <c r="G59" s="168">
        <v>657.2</v>
      </c>
      <c r="H59" s="150">
        <v>485.4</v>
      </c>
      <c r="I59" s="150">
        <v>657.2</v>
      </c>
      <c r="J59" s="151">
        <v>804.2</v>
      </c>
      <c r="K59" s="192">
        <v>740.1</v>
      </c>
      <c r="L59" s="193">
        <v>780.8</v>
      </c>
      <c r="M59" s="154">
        <f>J59/4</f>
        <v>201.05</v>
      </c>
      <c r="N59" s="154">
        <f>J59/4</f>
        <v>201.05</v>
      </c>
      <c r="O59" s="154">
        <f>J59/4</f>
        <v>201.05</v>
      </c>
      <c r="P59" s="154">
        <f>J59/4</f>
        <v>201.05</v>
      </c>
    </row>
    <row r="60" spans="1:19" ht="93" customHeight="1" thickBot="1" x14ac:dyDescent="0.25">
      <c r="A60" s="147" t="s">
        <v>290</v>
      </c>
      <c r="B60" s="148" t="s">
        <v>129</v>
      </c>
      <c r="C60" s="216" t="s">
        <v>291</v>
      </c>
      <c r="D60" s="150">
        <v>228.1</v>
      </c>
      <c r="E60" s="150">
        <v>114.1</v>
      </c>
      <c r="F60" s="150">
        <v>228.1</v>
      </c>
      <c r="G60" s="150">
        <v>5</v>
      </c>
      <c r="H60" s="150"/>
      <c r="I60" s="150">
        <v>5</v>
      </c>
      <c r="J60" s="151">
        <v>5.9</v>
      </c>
      <c r="K60" s="217"/>
      <c r="L60" s="218"/>
      <c r="M60" s="154">
        <f>J60/4</f>
        <v>1.4750000000000001</v>
      </c>
      <c r="N60" s="154">
        <f>J60/4</f>
        <v>1.4750000000000001</v>
      </c>
      <c r="O60" s="154">
        <f>J60/4</f>
        <v>1.4750000000000001</v>
      </c>
      <c r="P60" s="154">
        <f>J60/4</f>
        <v>1.4750000000000001</v>
      </c>
    </row>
    <row r="61" spans="1:19" ht="52.5" customHeight="1" thickBot="1" x14ac:dyDescent="0.25">
      <c r="A61" s="147" t="s">
        <v>328</v>
      </c>
      <c r="B61" s="148" t="s">
        <v>84</v>
      </c>
      <c r="C61" s="216" t="s">
        <v>292</v>
      </c>
      <c r="D61" s="151" t="e">
        <f>D9+D44</f>
        <v>#REF!</v>
      </c>
      <c r="E61" s="151" t="e">
        <f>E9+E44</f>
        <v>#REF!</v>
      </c>
      <c r="F61" s="151" t="e">
        <f>F9+F44</f>
        <v>#REF!</v>
      </c>
      <c r="G61" s="150">
        <f t="shared" ref="G61:L61" si="23">G63+G64</f>
        <v>885.9</v>
      </c>
      <c r="H61" s="150">
        <f t="shared" si="23"/>
        <v>329.9</v>
      </c>
      <c r="I61" s="150">
        <f t="shared" si="23"/>
        <v>387</v>
      </c>
      <c r="J61" s="151">
        <f t="shared" si="23"/>
        <v>726.5</v>
      </c>
      <c r="K61" s="219">
        <f t="shared" si="23"/>
        <v>1734.1</v>
      </c>
      <c r="L61" s="220">
        <f t="shared" si="23"/>
        <v>1835.1999999999998</v>
      </c>
      <c r="M61" s="154">
        <f>M63+M64</f>
        <v>181.625</v>
      </c>
      <c r="N61" s="154">
        <f>N63+N64</f>
        <v>181.625</v>
      </c>
      <c r="O61" s="154">
        <f>O63+O64</f>
        <v>181.625</v>
      </c>
      <c r="P61" s="154">
        <f>P63+P64</f>
        <v>181.625</v>
      </c>
    </row>
    <row r="62" spans="1:19" ht="63.75" x14ac:dyDescent="0.2">
      <c r="A62" s="147" t="s">
        <v>205</v>
      </c>
      <c r="B62" s="148" t="s">
        <v>204</v>
      </c>
      <c r="C62" s="216" t="s">
        <v>206</v>
      </c>
      <c r="D62" s="221">
        <v>30381.3</v>
      </c>
      <c r="E62" s="221">
        <f>[1]ведомст.структ!I79</f>
        <v>20086.600000000002</v>
      </c>
      <c r="F62" s="221">
        <f>[1]ведомст.структ!J79</f>
        <v>30141.100000000002</v>
      </c>
      <c r="G62" s="222">
        <f t="shared" ref="G62:L62" si="24">G63+G64</f>
        <v>885.9</v>
      </c>
      <c r="H62" s="222">
        <f t="shared" si="24"/>
        <v>329.9</v>
      </c>
      <c r="I62" s="222">
        <f t="shared" si="24"/>
        <v>387</v>
      </c>
      <c r="J62" s="209">
        <f t="shared" si="24"/>
        <v>726.5</v>
      </c>
      <c r="K62" s="223">
        <f t="shared" si="24"/>
        <v>1734.1</v>
      </c>
      <c r="L62" s="224">
        <f t="shared" si="24"/>
        <v>1835.1999999999998</v>
      </c>
      <c r="M62" s="154">
        <f>M63+M64</f>
        <v>181.625</v>
      </c>
      <c r="N62" s="154">
        <f>N63+N64</f>
        <v>181.625</v>
      </c>
      <c r="O62" s="154">
        <f>O63+O64</f>
        <v>181.625</v>
      </c>
      <c r="P62" s="154">
        <f>P63+P64</f>
        <v>181.625</v>
      </c>
    </row>
    <row r="63" spans="1:19" ht="45" customHeight="1" x14ac:dyDescent="0.2">
      <c r="A63" s="147" t="s">
        <v>207</v>
      </c>
      <c r="B63" s="148" t="s">
        <v>89</v>
      </c>
      <c r="C63" s="149" t="s">
        <v>293</v>
      </c>
      <c r="D63" s="184" t="e">
        <f>D61-D62</f>
        <v>#REF!</v>
      </c>
      <c r="E63" s="184" t="e">
        <f>E61-E62</f>
        <v>#REF!</v>
      </c>
      <c r="F63" s="184" t="e">
        <f>F61-F62</f>
        <v>#REF!</v>
      </c>
      <c r="G63" s="150">
        <v>602.4</v>
      </c>
      <c r="H63" s="150">
        <v>258</v>
      </c>
      <c r="I63" s="150">
        <f>H63/8*12</f>
        <v>387</v>
      </c>
      <c r="J63" s="151">
        <v>726.5</v>
      </c>
      <c r="K63" s="225">
        <v>1155.3</v>
      </c>
      <c r="L63" s="193">
        <v>1218.8</v>
      </c>
      <c r="M63" s="154">
        <f>J63/4</f>
        <v>181.625</v>
      </c>
      <c r="N63" s="154">
        <f>J63/4</f>
        <v>181.625</v>
      </c>
      <c r="O63" s="154">
        <f>J63/4</f>
        <v>181.625</v>
      </c>
      <c r="P63" s="154">
        <f>J63/4</f>
        <v>181.625</v>
      </c>
    </row>
    <row r="64" spans="1:19" ht="46.5" customHeight="1" thickBot="1" x14ac:dyDescent="0.25">
      <c r="A64" s="147" t="s">
        <v>329</v>
      </c>
      <c r="B64" s="148" t="s">
        <v>247</v>
      </c>
      <c r="C64" s="149" t="s">
        <v>294</v>
      </c>
      <c r="D64" s="157"/>
      <c r="E64" s="226"/>
      <c r="F64" s="226"/>
      <c r="G64" s="150">
        <v>283.5</v>
      </c>
      <c r="H64" s="150">
        <v>71.900000000000006</v>
      </c>
      <c r="I64" s="150"/>
      <c r="J64" s="151">
        <v>0</v>
      </c>
      <c r="K64" s="225">
        <v>578.79999999999995</v>
      </c>
      <c r="L64" s="193">
        <v>616.4</v>
      </c>
      <c r="M64" s="154">
        <f>J64/4</f>
        <v>0</v>
      </c>
      <c r="N64" s="154">
        <f>J64/4</f>
        <v>0</v>
      </c>
      <c r="O64" s="154">
        <f>J64/4</f>
        <v>0</v>
      </c>
      <c r="P64" s="154">
        <f>J64/4</f>
        <v>0</v>
      </c>
    </row>
    <row r="65" spans="1:16" ht="19.5" thickBot="1" x14ac:dyDescent="0.25">
      <c r="A65" s="126"/>
      <c r="B65" s="227"/>
      <c r="C65" s="228" t="s">
        <v>9</v>
      </c>
      <c r="D65" s="221" t="e">
        <f>D61-D44</f>
        <v>#REF!</v>
      </c>
      <c r="E65" s="221" t="e">
        <f>E61-E44</f>
        <v>#REF!</v>
      </c>
      <c r="F65" s="221" t="e">
        <f>F61-F44</f>
        <v>#REF!</v>
      </c>
      <c r="G65" s="221">
        <f t="shared" ref="G65:P65" si="25">G9+G48</f>
        <v>51728.200000000004</v>
      </c>
      <c r="H65" s="221">
        <f t="shared" si="25"/>
        <v>23927.699999999997</v>
      </c>
      <c r="I65" s="221">
        <f t="shared" si="25"/>
        <v>48661.7</v>
      </c>
      <c r="J65" s="221">
        <f>J9+J48</f>
        <v>92568.5</v>
      </c>
      <c r="K65" s="229">
        <f t="shared" si="25"/>
        <v>87828.79</v>
      </c>
      <c r="L65" s="230">
        <f t="shared" si="25"/>
        <v>89475.092449999996</v>
      </c>
      <c r="M65" s="158">
        <f t="shared" si="25"/>
        <v>25029.891666666663</v>
      </c>
      <c r="N65" s="158">
        <f t="shared" si="25"/>
        <v>25029.891666666663</v>
      </c>
      <c r="O65" s="158">
        <f t="shared" si="25"/>
        <v>25029.891666666663</v>
      </c>
      <c r="P65" s="158">
        <f t="shared" si="25"/>
        <v>16664.224999999999</v>
      </c>
    </row>
    <row r="66" spans="1:16" ht="18.75" hidden="1" x14ac:dyDescent="0.2">
      <c r="A66" s="110"/>
      <c r="B66" s="109"/>
      <c r="C66" s="107" t="s">
        <v>12</v>
      </c>
      <c r="G66" s="111" t="e">
        <f>#REF!</f>
        <v>#REF!</v>
      </c>
      <c r="H66" s="111" t="e">
        <f>#REF!</f>
        <v>#REF!</v>
      </c>
      <c r="I66" s="111" t="e">
        <f>#REF!</f>
        <v>#REF!</v>
      </c>
      <c r="J66" s="111" t="e">
        <f>#REF!</f>
        <v>#REF!</v>
      </c>
      <c r="K66" s="111" t="e">
        <f>#REF!</f>
        <v>#REF!</v>
      </c>
      <c r="L66" s="111" t="e">
        <f>#REF!</f>
        <v>#REF!</v>
      </c>
    </row>
    <row r="67" spans="1:16" ht="18.75" hidden="1" x14ac:dyDescent="0.2">
      <c r="A67" s="110"/>
      <c r="B67" s="109"/>
      <c r="C67" s="105" t="s">
        <v>13</v>
      </c>
      <c r="G67" s="106" t="e">
        <f t="shared" ref="G67:L67" si="26">G65-G66</f>
        <v>#REF!</v>
      </c>
      <c r="H67" s="106" t="e">
        <f t="shared" si="26"/>
        <v>#REF!</v>
      </c>
      <c r="I67" s="106" t="e">
        <f t="shared" si="26"/>
        <v>#REF!</v>
      </c>
      <c r="J67" s="106" t="e">
        <f>J65-J66</f>
        <v>#REF!</v>
      </c>
      <c r="K67" s="106" t="e">
        <f t="shared" si="26"/>
        <v>#REF!</v>
      </c>
      <c r="L67" s="106" t="e">
        <f t="shared" si="26"/>
        <v>#REF!</v>
      </c>
    </row>
    <row r="68" spans="1:16" hidden="1" x14ac:dyDescent="0.2">
      <c r="A68" s="112"/>
    </row>
    <row r="69" spans="1:16" ht="19.5" hidden="1" thickBot="1" x14ac:dyDescent="0.25">
      <c r="A69" s="113"/>
      <c r="B69" s="114" t="s">
        <v>213</v>
      </c>
      <c r="C69" s="114"/>
      <c r="G69" s="104">
        <f t="shared" ref="G69:L69" si="27">G65-G48</f>
        <v>29725.4</v>
      </c>
      <c r="H69" s="104">
        <f t="shared" si="27"/>
        <v>17464.399999999998</v>
      </c>
      <c r="I69" s="104">
        <f t="shared" si="27"/>
        <v>29091.899999999994</v>
      </c>
      <c r="J69" s="104">
        <f t="shared" si="27"/>
        <v>26445.600000000006</v>
      </c>
      <c r="K69" s="104">
        <f t="shared" si="27"/>
        <v>27354.589999999997</v>
      </c>
      <c r="L69" s="104">
        <f t="shared" si="27"/>
        <v>28859.092449999996</v>
      </c>
    </row>
    <row r="70" spans="1:16" hidden="1" x14ac:dyDescent="0.2"/>
    <row r="71" spans="1:16" hidden="1" x14ac:dyDescent="0.2"/>
    <row r="72" spans="1:16" hidden="1" x14ac:dyDescent="0.2">
      <c r="J72" s="2">
        <f>J65-J56</f>
        <v>91037.8</v>
      </c>
    </row>
    <row r="73" spans="1:16" hidden="1" x14ac:dyDescent="0.2">
      <c r="J73" s="2">
        <f>J72*0.31</f>
        <v>28221.718000000001</v>
      </c>
    </row>
    <row r="74" spans="1:16" hidden="1" x14ac:dyDescent="0.2"/>
    <row r="75" spans="1:16" hidden="1" x14ac:dyDescent="0.2"/>
    <row r="77" spans="1:16" x14ac:dyDescent="0.2">
      <c r="P77" s="119"/>
    </row>
  </sheetData>
  <mergeCells count="5">
    <mergeCell ref="A6:P6"/>
    <mergeCell ref="O7:P7"/>
    <mergeCell ref="C1:P1"/>
    <mergeCell ref="C4:P4"/>
    <mergeCell ref="A5:P5"/>
  </mergeCells>
  <pageMargins left="0.59055118110236227" right="0.39370078740157483" top="0.39370078740157483" bottom="0.39370078740157483" header="0" footer="0"/>
  <pageSetup paperSize="9" scale="70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X77"/>
  <sheetViews>
    <sheetView topLeftCell="A62" zoomScale="87" zoomScaleNormal="87" workbookViewId="0">
      <selection activeCell="C53" sqref="C53"/>
    </sheetView>
  </sheetViews>
  <sheetFormatPr defaultColWidth="9.140625" defaultRowHeight="12.75" x14ac:dyDescent="0.2"/>
  <cols>
    <col min="1" max="1" width="9.140625" style="1" customWidth="1"/>
    <col min="2" max="2" width="38.5703125" style="1" customWidth="1"/>
    <col min="3" max="3" width="51.42578125" style="2" customWidth="1"/>
    <col min="4" max="4" width="11.7109375" style="6" hidden="1" customWidth="1"/>
    <col min="5" max="5" width="10.85546875" style="2" hidden="1" customWidth="1"/>
    <col min="6" max="6" width="13.42578125" style="2" hidden="1" customWidth="1"/>
    <col min="7" max="7" width="15.85546875" style="2" hidden="1" customWidth="1"/>
    <col min="8" max="8" width="14" style="2" hidden="1" customWidth="1"/>
    <col min="9" max="9" width="16.5703125" style="2" hidden="1" customWidth="1"/>
    <col min="10" max="10" width="17.140625" style="2" customWidth="1"/>
    <col min="11" max="11" width="12.7109375" style="2" hidden="1" customWidth="1"/>
    <col min="12" max="12" width="12" style="2" hidden="1" customWidth="1"/>
    <col min="13" max="13" width="10.140625" style="2" hidden="1" customWidth="1"/>
    <col min="14" max="16" width="0" style="2" hidden="1" customWidth="1"/>
    <col min="17" max="17" width="17" style="2" hidden="1" customWidth="1"/>
    <col min="18" max="18" width="16.5703125" style="2" hidden="1" customWidth="1"/>
    <col min="19" max="19" width="9.140625" style="321"/>
    <col min="20" max="20" width="13.28515625" style="2" hidden="1" customWidth="1"/>
    <col min="21" max="23" width="0" style="2" hidden="1" customWidth="1"/>
    <col min="24" max="24" width="10.140625" style="2" bestFit="1" customWidth="1"/>
    <col min="25" max="16384" width="9.140625" style="2"/>
  </cols>
  <sheetData>
    <row r="1" spans="1:24" ht="21" customHeight="1" x14ac:dyDescent="0.2">
      <c r="A1" s="459"/>
      <c r="B1" s="234"/>
      <c r="C1" s="529" t="s">
        <v>544</v>
      </c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</row>
    <row r="2" spans="1:24" ht="21" customHeight="1" x14ac:dyDescent="0.2">
      <c r="A2" s="232"/>
      <c r="B2" s="460"/>
      <c r="C2" s="460"/>
      <c r="D2" s="460"/>
      <c r="E2" s="460"/>
      <c r="F2" s="460"/>
      <c r="G2" s="460"/>
      <c r="H2" s="460"/>
      <c r="I2" s="460"/>
      <c r="J2" s="461" t="s">
        <v>610</v>
      </c>
      <c r="K2" s="460"/>
      <c r="L2" s="460"/>
      <c r="M2" s="460"/>
      <c r="N2" s="460"/>
      <c r="O2" s="460"/>
      <c r="P2" s="460"/>
    </row>
    <row r="3" spans="1:24" ht="20.25" customHeight="1" x14ac:dyDescent="0.2">
      <c r="A3" s="232"/>
      <c r="B3" s="232"/>
      <c r="C3" s="530" t="s">
        <v>631</v>
      </c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</row>
    <row r="4" spans="1:24" ht="20.25" customHeight="1" x14ac:dyDescent="0.2">
      <c r="A4" s="232"/>
      <c r="B4" s="232"/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</row>
    <row r="5" spans="1:24" ht="22.5" customHeight="1" x14ac:dyDescent="0.2">
      <c r="A5" s="531" t="s">
        <v>416</v>
      </c>
      <c r="B5" s="531"/>
      <c r="C5" s="531"/>
      <c r="D5" s="531"/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31"/>
      <c r="P5" s="531"/>
    </row>
    <row r="6" spans="1:24" ht="27.6" customHeight="1" x14ac:dyDescent="0.2">
      <c r="A6" s="531" t="s">
        <v>630</v>
      </c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</row>
    <row r="7" spans="1:24" ht="27.6" customHeight="1" thickBot="1" x14ac:dyDescent="0.25">
      <c r="A7" s="462"/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532" t="s">
        <v>386</v>
      </c>
      <c r="P7" s="532"/>
      <c r="Q7" s="2">
        <v>2017</v>
      </c>
      <c r="R7" s="2">
        <v>2018</v>
      </c>
    </row>
    <row r="8" spans="1:24" s="7" customFormat="1" ht="61.5" customHeight="1" thickBot="1" x14ac:dyDescent="0.25">
      <c r="A8" s="463" t="s">
        <v>0</v>
      </c>
      <c r="B8" s="463" t="s">
        <v>11</v>
      </c>
      <c r="C8" s="464" t="s">
        <v>1</v>
      </c>
      <c r="D8" s="465" t="s">
        <v>211</v>
      </c>
      <c r="E8" s="465" t="s">
        <v>216</v>
      </c>
      <c r="F8" s="465" t="s">
        <v>212</v>
      </c>
      <c r="G8" s="465" t="s">
        <v>279</v>
      </c>
      <c r="H8" s="465" t="s">
        <v>305</v>
      </c>
      <c r="I8" s="465" t="s">
        <v>249</v>
      </c>
      <c r="J8" s="465" t="s">
        <v>307</v>
      </c>
      <c r="K8" s="466" t="s">
        <v>246</v>
      </c>
      <c r="L8" s="467" t="s">
        <v>250</v>
      </c>
      <c r="M8" s="468" t="s">
        <v>382</v>
      </c>
      <c r="N8" s="468" t="s">
        <v>383</v>
      </c>
      <c r="O8" s="468" t="s">
        <v>384</v>
      </c>
      <c r="P8" s="468" t="s">
        <v>385</v>
      </c>
      <c r="Q8" s="127" t="s">
        <v>307</v>
      </c>
      <c r="R8" s="127" t="s">
        <v>307</v>
      </c>
      <c r="S8" s="322"/>
    </row>
    <row r="9" spans="1:24" s="3" customFormat="1" ht="16.5" thickBot="1" x14ac:dyDescent="0.25">
      <c r="A9" s="464" t="s">
        <v>2</v>
      </c>
      <c r="B9" s="469" t="s">
        <v>16</v>
      </c>
      <c r="C9" s="470" t="s">
        <v>323</v>
      </c>
      <c r="D9" s="471" t="e">
        <f>D10+D20+D23+D30+D34</f>
        <v>#REF!</v>
      </c>
      <c r="E9" s="471" t="e">
        <f>E10+E20+E23+E30+E34</f>
        <v>#REF!</v>
      </c>
      <c r="F9" s="471" t="e">
        <f>F10+F20+F23+F30+F34</f>
        <v>#REF!</v>
      </c>
      <c r="G9" s="471" t="e">
        <f>G10+G20+G23+G34+G42</f>
        <v>#REF!</v>
      </c>
      <c r="H9" s="471" t="e">
        <f>H10+H20+H23+H34+H42</f>
        <v>#REF!</v>
      </c>
      <c r="I9" s="471" t="e">
        <f>I10+I20+I23+I34+I42</f>
        <v>#REF!</v>
      </c>
      <c r="J9" s="472">
        <f>J10+J20+J23+J38+J42</f>
        <v>36779.799999999996</v>
      </c>
      <c r="K9" s="473" t="e">
        <f t="shared" ref="K9:P9" si="0">K10+K20+K23+K34+K42</f>
        <v>#REF!</v>
      </c>
      <c r="L9" s="474" t="e">
        <f t="shared" si="0"/>
        <v>#REF!</v>
      </c>
      <c r="M9" s="475" t="e">
        <f t="shared" si="0"/>
        <v>#REF!</v>
      </c>
      <c r="N9" s="475" t="e">
        <f t="shared" si="0"/>
        <v>#REF!</v>
      </c>
      <c r="O9" s="475" t="e">
        <f t="shared" si="0"/>
        <v>#REF!</v>
      </c>
      <c r="P9" s="475" t="e">
        <f t="shared" si="0"/>
        <v>#REF!</v>
      </c>
      <c r="Q9" s="135" t="e">
        <f>Q10+Q20+Q23+Q38</f>
        <v>#REF!</v>
      </c>
      <c r="R9" s="135" t="e">
        <f>R10+R20+R23+R38</f>
        <v>#REF!</v>
      </c>
      <c r="S9" s="323"/>
    </row>
    <row r="10" spans="1:24" s="4" customFormat="1" ht="16.5" thickBot="1" x14ac:dyDescent="0.25">
      <c r="A10" s="470" t="s">
        <v>7</v>
      </c>
      <c r="B10" s="469" t="s">
        <v>148</v>
      </c>
      <c r="C10" s="476" t="s">
        <v>5</v>
      </c>
      <c r="D10" s="471" t="e">
        <f t="shared" ref="D10:I10" si="1">D11+D17</f>
        <v>#REF!</v>
      </c>
      <c r="E10" s="471" t="e">
        <f t="shared" si="1"/>
        <v>#REF!</v>
      </c>
      <c r="F10" s="471" t="e">
        <f t="shared" si="1"/>
        <v>#REF!</v>
      </c>
      <c r="G10" s="471" t="e">
        <f t="shared" si="1"/>
        <v>#REF!</v>
      </c>
      <c r="H10" s="471" t="e">
        <f t="shared" si="1"/>
        <v>#REF!</v>
      </c>
      <c r="I10" s="471" t="e">
        <f t="shared" si="1"/>
        <v>#REF!</v>
      </c>
      <c r="J10" s="472">
        <f>J11+J17+J19</f>
        <v>27114</v>
      </c>
      <c r="K10" s="477" t="e">
        <f t="shared" ref="K10:P10" si="2">K11+K17</f>
        <v>#REF!</v>
      </c>
      <c r="L10" s="478" t="e">
        <f t="shared" si="2"/>
        <v>#REF!</v>
      </c>
      <c r="M10" s="479" t="e">
        <f t="shared" si="2"/>
        <v>#REF!</v>
      </c>
      <c r="N10" s="479" t="e">
        <f t="shared" si="2"/>
        <v>#REF!</v>
      </c>
      <c r="O10" s="479" t="e">
        <f t="shared" si="2"/>
        <v>#REF!</v>
      </c>
      <c r="P10" s="479" t="e">
        <f t="shared" si="2"/>
        <v>#REF!</v>
      </c>
      <c r="Q10" s="143" t="e">
        <f>Q11+Q17+Q19</f>
        <v>#REF!</v>
      </c>
      <c r="R10" s="143" t="e">
        <f>R11+R17+R19</f>
        <v>#REF!</v>
      </c>
      <c r="S10" s="324"/>
    </row>
    <row r="11" spans="1:24" s="6" customFormat="1" ht="34.5" customHeight="1" x14ac:dyDescent="0.2">
      <c r="A11" s="147" t="s">
        <v>62</v>
      </c>
      <c r="B11" s="148" t="s">
        <v>243</v>
      </c>
      <c r="C11" s="149" t="s">
        <v>142</v>
      </c>
      <c r="D11" s="150" t="e">
        <f>D12+D14+#REF!+D15</f>
        <v>#REF!</v>
      </c>
      <c r="E11" s="150" t="e">
        <f>E12+E14+#REF!+E15</f>
        <v>#REF!</v>
      </c>
      <c r="F11" s="150" t="e">
        <f>F12+F14+#REF!+F15</f>
        <v>#REF!</v>
      </c>
      <c r="G11" s="150" t="e">
        <f>G12+G14+#REF!+G15+G16</f>
        <v>#REF!</v>
      </c>
      <c r="H11" s="150" t="e">
        <f>H12+H14+#REF!+H15+H16</f>
        <v>#REF!</v>
      </c>
      <c r="I11" s="150" t="e">
        <f>I12+I14+#REF!+I15+I16+I17</f>
        <v>#REF!</v>
      </c>
      <c r="J11" s="151">
        <f>J12+J13+J16</f>
        <v>26092</v>
      </c>
      <c r="K11" s="152" t="e">
        <f>K12+K14+#REF!+K15+K16+K17</f>
        <v>#REF!</v>
      </c>
      <c r="L11" s="153" t="e">
        <f>L12+L14+#REF!+L15+L16+L17</f>
        <v>#REF!</v>
      </c>
      <c r="M11" s="154" t="e">
        <f>M12+M14+#REF!+M15+M16</f>
        <v>#REF!</v>
      </c>
      <c r="N11" s="154" t="e">
        <f>N12+N14+#REF!+N15+N16</f>
        <v>#REF!</v>
      </c>
      <c r="O11" s="154" t="e">
        <f>O12+O14+#REF!+O15+O16</f>
        <v>#REF!</v>
      </c>
      <c r="P11" s="154" t="e">
        <f>P12+P14+#REF!+P15+P16</f>
        <v>#REF!</v>
      </c>
      <c r="Q11" s="151" t="e">
        <f>Q12+Q14+#REF!+Q15+Q16</f>
        <v>#REF!</v>
      </c>
      <c r="R11" s="151" t="e">
        <f>R12+R14+#REF!+R15+R16</f>
        <v>#REF!</v>
      </c>
      <c r="S11" s="325"/>
    </row>
    <row r="12" spans="1:24" s="6" customFormat="1" ht="36" customHeight="1" x14ac:dyDescent="0.2">
      <c r="A12" s="147" t="s">
        <v>45</v>
      </c>
      <c r="B12" s="148" t="s">
        <v>194</v>
      </c>
      <c r="C12" s="149" t="s">
        <v>143</v>
      </c>
      <c r="D12" s="150">
        <v>6131.4</v>
      </c>
      <c r="E12" s="150">
        <v>3667.3</v>
      </c>
      <c r="F12" s="150">
        <f>E12/8*12</f>
        <v>5500.9500000000007</v>
      </c>
      <c r="G12" s="150">
        <v>17300</v>
      </c>
      <c r="H12" s="150">
        <v>8970.7999999999993</v>
      </c>
      <c r="I12" s="150">
        <v>15500</v>
      </c>
      <c r="J12" s="151">
        <v>22192</v>
      </c>
      <c r="K12" s="155">
        <f>J12*1.058</f>
        <v>23479.136000000002</v>
      </c>
      <c r="L12" s="156">
        <f>K12*1.055</f>
        <v>24770.48848</v>
      </c>
      <c r="M12" s="154">
        <f>J12/3</f>
        <v>7397.333333333333</v>
      </c>
      <c r="N12" s="154">
        <f>J12/3</f>
        <v>7397.333333333333</v>
      </c>
      <c r="O12" s="154">
        <f>J12/3</f>
        <v>7397.333333333333</v>
      </c>
      <c r="P12" s="154">
        <v>0</v>
      </c>
      <c r="Q12" s="151">
        <f>J12*108%</f>
        <v>23967.360000000001</v>
      </c>
      <c r="R12" s="151">
        <f>Q12*106.9%</f>
        <v>25621.107840000001</v>
      </c>
      <c r="S12" s="325"/>
      <c r="X12" s="458"/>
    </row>
    <row r="13" spans="1:24" s="6" customFormat="1" ht="39.950000000000003" customHeight="1" x14ac:dyDescent="0.2">
      <c r="A13" s="147" t="s">
        <v>63</v>
      </c>
      <c r="B13" s="148" t="s">
        <v>280</v>
      </c>
      <c r="C13" s="149" t="s">
        <v>144</v>
      </c>
      <c r="D13" s="150"/>
      <c r="E13" s="150"/>
      <c r="F13" s="150"/>
      <c r="G13" s="150">
        <f>G14</f>
        <v>760</v>
      </c>
      <c r="H13" s="150">
        <f>H14</f>
        <v>824.4</v>
      </c>
      <c r="I13" s="150">
        <f>I14</f>
        <v>1236.5999999999999</v>
      </c>
      <c r="J13" s="151">
        <f>J14</f>
        <v>3800</v>
      </c>
      <c r="K13" s="155">
        <f t="shared" ref="K13:K46" si="3">J13*1.058</f>
        <v>4020.4</v>
      </c>
      <c r="L13" s="156">
        <f t="shared" ref="L13:L46" si="4">K13*1.055</f>
        <v>4241.5219999999999</v>
      </c>
      <c r="M13" s="154">
        <f t="shared" ref="M13:R13" si="5">M14</f>
        <v>1266.6666666666667</v>
      </c>
      <c r="N13" s="154">
        <f t="shared" si="5"/>
        <v>1266.6666666666667</v>
      </c>
      <c r="O13" s="154">
        <f t="shared" si="5"/>
        <v>1266.6666666666667</v>
      </c>
      <c r="P13" s="154">
        <f t="shared" si="5"/>
        <v>0</v>
      </c>
      <c r="Q13" s="151">
        <f t="shared" si="5"/>
        <v>4104</v>
      </c>
      <c r="R13" s="151">
        <f t="shared" si="5"/>
        <v>4387.1759999999995</v>
      </c>
      <c r="S13" s="325"/>
    </row>
    <row r="14" spans="1:24" s="6" customFormat="1" ht="39.950000000000003" customHeight="1" x14ac:dyDescent="0.2">
      <c r="A14" s="147" t="s">
        <v>178</v>
      </c>
      <c r="B14" s="148" t="s">
        <v>197</v>
      </c>
      <c r="C14" s="149" t="s">
        <v>144</v>
      </c>
      <c r="D14" s="150">
        <v>800</v>
      </c>
      <c r="E14" s="150">
        <v>733.2</v>
      </c>
      <c r="F14" s="150">
        <f>E14/8*12</f>
        <v>1099.8000000000002</v>
      </c>
      <c r="G14" s="150">
        <v>760</v>
      </c>
      <c r="H14" s="150">
        <v>824.4</v>
      </c>
      <c r="I14" s="150">
        <f t="shared" ref="I14:I19" si="6">H14/8*12</f>
        <v>1236.5999999999999</v>
      </c>
      <c r="J14" s="151">
        <v>3800</v>
      </c>
      <c r="K14" s="155">
        <f t="shared" si="3"/>
        <v>4020.4</v>
      </c>
      <c r="L14" s="156">
        <f t="shared" si="4"/>
        <v>4241.5219999999999</v>
      </c>
      <c r="M14" s="154">
        <f>J14/3</f>
        <v>1266.6666666666667</v>
      </c>
      <c r="N14" s="154">
        <f>J14/3</f>
        <v>1266.6666666666667</v>
      </c>
      <c r="O14" s="154">
        <f>J14/3</f>
        <v>1266.6666666666667</v>
      </c>
      <c r="P14" s="154">
        <v>0</v>
      </c>
      <c r="Q14" s="151">
        <f>J14*108%</f>
        <v>4104</v>
      </c>
      <c r="R14" s="151">
        <f>Q14*106.9%</f>
        <v>4387.1759999999995</v>
      </c>
      <c r="S14" s="325"/>
    </row>
    <row r="15" spans="1:24" s="6" customFormat="1" ht="39.950000000000003" hidden="1" customHeight="1" x14ac:dyDescent="0.2">
      <c r="A15" s="147" t="s">
        <v>178</v>
      </c>
      <c r="B15" s="148" t="s">
        <v>198</v>
      </c>
      <c r="C15" s="149" t="s">
        <v>199</v>
      </c>
      <c r="D15" s="150">
        <v>10</v>
      </c>
      <c r="E15" s="150">
        <v>-74.790000000000006</v>
      </c>
      <c r="F15" s="150">
        <v>10</v>
      </c>
      <c r="G15" s="157"/>
      <c r="H15" s="157"/>
      <c r="I15" s="150">
        <f t="shared" si="6"/>
        <v>0</v>
      </c>
      <c r="J15" s="151">
        <f>I15*1.058</f>
        <v>0</v>
      </c>
      <c r="K15" s="155">
        <f t="shared" si="3"/>
        <v>0</v>
      </c>
      <c r="L15" s="156">
        <f t="shared" si="4"/>
        <v>0</v>
      </c>
      <c r="M15" s="150">
        <v>0</v>
      </c>
      <c r="N15" s="150">
        <v>0</v>
      </c>
      <c r="O15" s="150">
        <v>0</v>
      </c>
      <c r="P15" s="150">
        <v>0</v>
      </c>
      <c r="Q15" s="151">
        <f>P15*1.058</f>
        <v>0</v>
      </c>
      <c r="R15" s="151">
        <f>Q15*1.058</f>
        <v>0</v>
      </c>
      <c r="S15" s="325"/>
    </row>
    <row r="16" spans="1:24" s="6" customFormat="1" ht="49.5" customHeight="1" x14ac:dyDescent="0.2">
      <c r="A16" s="147" t="s">
        <v>242</v>
      </c>
      <c r="B16" s="148" t="s">
        <v>240</v>
      </c>
      <c r="C16" s="149" t="s">
        <v>617</v>
      </c>
      <c r="D16" s="150"/>
      <c r="E16" s="150"/>
      <c r="F16" s="150"/>
      <c r="G16" s="150">
        <v>560</v>
      </c>
      <c r="H16" s="150">
        <v>17.8</v>
      </c>
      <c r="I16" s="150">
        <f t="shared" si="6"/>
        <v>26.700000000000003</v>
      </c>
      <c r="J16" s="151">
        <v>100</v>
      </c>
      <c r="K16" s="155">
        <f t="shared" si="3"/>
        <v>105.80000000000001</v>
      </c>
      <c r="L16" s="156">
        <f t="shared" si="4"/>
        <v>111.619</v>
      </c>
      <c r="M16" s="154">
        <f>J16/4</f>
        <v>25</v>
      </c>
      <c r="N16" s="154">
        <f>J16/4</f>
        <v>25</v>
      </c>
      <c r="O16" s="154">
        <f>J16/4</f>
        <v>25</v>
      </c>
      <c r="P16" s="154">
        <f>J16/4</f>
        <v>25</v>
      </c>
      <c r="Q16" s="151">
        <f>J16*108%</f>
        <v>108</v>
      </c>
      <c r="R16" s="151">
        <f>Q16*106.9%</f>
        <v>115.452</v>
      </c>
      <c r="S16" s="325"/>
    </row>
    <row r="17" spans="1:19" s="6" customFormat="1" ht="29.25" customHeight="1" x14ac:dyDescent="0.2">
      <c r="A17" s="147" t="s">
        <v>161</v>
      </c>
      <c r="B17" s="148" t="s">
        <v>245</v>
      </c>
      <c r="C17" s="149" t="s">
        <v>530</v>
      </c>
      <c r="D17" s="150">
        <f>D18+D19</f>
        <v>240</v>
      </c>
      <c r="E17" s="150">
        <f>E18+E19</f>
        <v>181.5</v>
      </c>
      <c r="F17" s="150">
        <f>E17/8*12</f>
        <v>272.25</v>
      </c>
      <c r="G17" s="150">
        <f>G18+G19</f>
        <v>200</v>
      </c>
      <c r="H17" s="150">
        <f>H18+H19</f>
        <v>223.2</v>
      </c>
      <c r="I17" s="150">
        <f t="shared" si="6"/>
        <v>334.79999999999995</v>
      </c>
      <c r="J17" s="151">
        <f>J18</f>
        <v>448</v>
      </c>
      <c r="K17" s="155">
        <f t="shared" si="3"/>
        <v>473.98400000000004</v>
      </c>
      <c r="L17" s="156">
        <f t="shared" si="4"/>
        <v>500.05312000000004</v>
      </c>
      <c r="M17" s="154">
        <f t="shared" ref="M17:R17" si="7">M18</f>
        <v>149.33333333333334</v>
      </c>
      <c r="N17" s="154">
        <f t="shared" si="7"/>
        <v>149.33333333333334</v>
      </c>
      <c r="O17" s="154">
        <f t="shared" si="7"/>
        <v>149.33333333333334</v>
      </c>
      <c r="P17" s="154">
        <f t="shared" si="7"/>
        <v>0</v>
      </c>
      <c r="Q17" s="151">
        <f t="shared" si="7"/>
        <v>483.84000000000003</v>
      </c>
      <c r="R17" s="151">
        <f t="shared" si="7"/>
        <v>517.22496000000001</v>
      </c>
      <c r="S17" s="325"/>
    </row>
    <row r="18" spans="1:19" s="6" customFormat="1" ht="32.25" customHeight="1" x14ac:dyDescent="0.2">
      <c r="A18" s="147" t="s">
        <v>177</v>
      </c>
      <c r="B18" s="148" t="s">
        <v>200</v>
      </c>
      <c r="C18" s="149" t="s">
        <v>530</v>
      </c>
      <c r="D18" s="150">
        <v>120</v>
      </c>
      <c r="E18" s="150">
        <v>130.5</v>
      </c>
      <c r="F18" s="150">
        <f>E18/8*12</f>
        <v>195.75</v>
      </c>
      <c r="G18" s="150">
        <v>200</v>
      </c>
      <c r="H18" s="150">
        <v>223.2</v>
      </c>
      <c r="I18" s="150">
        <f t="shared" si="6"/>
        <v>334.79999999999995</v>
      </c>
      <c r="J18" s="151">
        <v>448</v>
      </c>
      <c r="K18" s="155">
        <f t="shared" si="3"/>
        <v>473.98400000000004</v>
      </c>
      <c r="L18" s="156">
        <f t="shared" si="4"/>
        <v>500.05312000000004</v>
      </c>
      <c r="M18" s="154">
        <f>J18/3</f>
        <v>149.33333333333334</v>
      </c>
      <c r="N18" s="154">
        <f>J18/3</f>
        <v>149.33333333333334</v>
      </c>
      <c r="O18" s="154">
        <f>J18/3</f>
        <v>149.33333333333334</v>
      </c>
      <c r="P18" s="154">
        <v>0</v>
      </c>
      <c r="Q18" s="151">
        <f>J18*108%</f>
        <v>483.84000000000003</v>
      </c>
      <c r="R18" s="151">
        <f>Q18*106.9%</f>
        <v>517.22496000000001</v>
      </c>
      <c r="S18" s="325"/>
    </row>
    <row r="19" spans="1:19" s="4" customFormat="1" ht="45" customHeight="1" thickBot="1" x14ac:dyDescent="0.25">
      <c r="A19" s="147" t="s">
        <v>231</v>
      </c>
      <c r="B19" s="148" t="s">
        <v>426</v>
      </c>
      <c r="C19" s="149" t="s">
        <v>427</v>
      </c>
      <c r="D19" s="150">
        <v>120</v>
      </c>
      <c r="E19" s="150">
        <v>51</v>
      </c>
      <c r="F19" s="150">
        <f>E19/8*12</f>
        <v>76.5</v>
      </c>
      <c r="G19" s="157"/>
      <c r="H19" s="150"/>
      <c r="I19" s="150">
        <f t="shared" si="6"/>
        <v>0</v>
      </c>
      <c r="J19" s="151">
        <v>574</v>
      </c>
      <c r="K19" s="155">
        <f t="shared" si="3"/>
        <v>607.29200000000003</v>
      </c>
      <c r="L19" s="156">
        <f t="shared" si="4"/>
        <v>640.69305999999995</v>
      </c>
      <c r="M19" s="158"/>
      <c r="N19" s="158"/>
      <c r="O19" s="158"/>
      <c r="P19" s="158"/>
      <c r="Q19" s="151">
        <f>J19*108%</f>
        <v>619.92000000000007</v>
      </c>
      <c r="R19" s="151">
        <f>Q19*106.9%</f>
        <v>662.69448</v>
      </c>
      <c r="S19" s="324"/>
    </row>
    <row r="20" spans="1:19" s="6" customFormat="1" ht="16.5" hidden="1" thickBot="1" x14ac:dyDescent="0.25">
      <c r="A20" s="415" t="s">
        <v>4</v>
      </c>
      <c r="B20" s="207" t="s">
        <v>149</v>
      </c>
      <c r="C20" s="208" t="s">
        <v>6</v>
      </c>
      <c r="D20" s="184">
        <f>D21</f>
        <v>300</v>
      </c>
      <c r="E20" s="184">
        <f t="shared" ref="E20:R21" si="8">E21</f>
        <v>175</v>
      </c>
      <c r="F20" s="184">
        <f t="shared" si="8"/>
        <v>262.5</v>
      </c>
      <c r="G20" s="184">
        <f t="shared" si="8"/>
        <v>1600</v>
      </c>
      <c r="H20" s="184">
        <f t="shared" si="8"/>
        <v>950.7</v>
      </c>
      <c r="I20" s="184">
        <f t="shared" si="8"/>
        <v>1600</v>
      </c>
      <c r="J20" s="221">
        <f t="shared" si="8"/>
        <v>0</v>
      </c>
      <c r="K20" s="159">
        <f t="shared" si="8"/>
        <v>0</v>
      </c>
      <c r="L20" s="160">
        <f t="shared" si="8"/>
        <v>0</v>
      </c>
      <c r="M20" s="146">
        <f t="shared" si="8"/>
        <v>0</v>
      </c>
      <c r="N20" s="146">
        <f t="shared" si="8"/>
        <v>0</v>
      </c>
      <c r="O20" s="146">
        <f t="shared" si="8"/>
        <v>0</v>
      </c>
      <c r="P20" s="146">
        <f t="shared" si="8"/>
        <v>0</v>
      </c>
      <c r="Q20" s="143">
        <f t="shared" si="8"/>
        <v>0</v>
      </c>
      <c r="R20" s="143">
        <f t="shared" si="8"/>
        <v>0</v>
      </c>
      <c r="S20" s="325"/>
    </row>
    <row r="21" spans="1:19" ht="39.950000000000003" hidden="1" customHeight="1" thickBot="1" x14ac:dyDescent="0.25">
      <c r="A21" s="147" t="s">
        <v>64</v>
      </c>
      <c r="B21" s="148" t="s">
        <v>244</v>
      </c>
      <c r="C21" s="161" t="s">
        <v>55</v>
      </c>
      <c r="D21" s="150">
        <f>D22</f>
        <v>300</v>
      </c>
      <c r="E21" s="150">
        <v>175</v>
      </c>
      <c r="F21" s="150">
        <f t="shared" si="8"/>
        <v>262.5</v>
      </c>
      <c r="G21" s="150">
        <f t="shared" si="8"/>
        <v>1600</v>
      </c>
      <c r="H21" s="150">
        <f t="shared" si="8"/>
        <v>950.7</v>
      </c>
      <c r="I21" s="150">
        <f>I22</f>
        <v>1600</v>
      </c>
      <c r="J21" s="151">
        <v>0</v>
      </c>
      <c r="K21" s="155">
        <f t="shared" si="3"/>
        <v>0</v>
      </c>
      <c r="L21" s="156">
        <f t="shared" si="4"/>
        <v>0</v>
      </c>
      <c r="M21" s="154">
        <f t="shared" si="8"/>
        <v>0</v>
      </c>
      <c r="N21" s="154">
        <f t="shared" si="8"/>
        <v>0</v>
      </c>
      <c r="O21" s="154">
        <f t="shared" si="8"/>
        <v>0</v>
      </c>
      <c r="P21" s="154">
        <f t="shared" si="8"/>
        <v>0</v>
      </c>
      <c r="Q21" s="151">
        <f>Q22</f>
        <v>0</v>
      </c>
      <c r="R21" s="151">
        <f>R22</f>
        <v>0</v>
      </c>
    </row>
    <row r="22" spans="1:19" s="6" customFormat="1" ht="64.5" hidden="1" thickBot="1" x14ac:dyDescent="0.25">
      <c r="A22" s="147" t="s">
        <v>65</v>
      </c>
      <c r="B22" s="148" t="s">
        <v>52</v>
      </c>
      <c r="C22" s="149" t="s">
        <v>539</v>
      </c>
      <c r="D22" s="150">
        <v>300</v>
      </c>
      <c r="E22" s="150">
        <v>175</v>
      </c>
      <c r="F22" s="150">
        <f>E22/8*12</f>
        <v>262.5</v>
      </c>
      <c r="G22" s="150">
        <v>1600</v>
      </c>
      <c r="H22" s="150">
        <v>950.7</v>
      </c>
      <c r="I22" s="150">
        <v>1600</v>
      </c>
      <c r="J22" s="151">
        <v>0</v>
      </c>
      <c r="K22" s="155">
        <f t="shared" si="3"/>
        <v>0</v>
      </c>
      <c r="L22" s="156">
        <f t="shared" si="4"/>
        <v>0</v>
      </c>
      <c r="M22" s="154">
        <f>J22/3</f>
        <v>0</v>
      </c>
      <c r="N22" s="154">
        <f>J22/3</f>
        <v>0</v>
      </c>
      <c r="O22" s="154">
        <f>J22/3</f>
        <v>0</v>
      </c>
      <c r="P22" s="154">
        <v>0</v>
      </c>
      <c r="Q22" s="151">
        <f>J22*108%</f>
        <v>0</v>
      </c>
      <c r="R22" s="151">
        <f>Q22*106.9%</f>
        <v>0</v>
      </c>
      <c r="S22" s="325"/>
    </row>
    <row r="23" spans="1:19" s="6" customFormat="1" ht="39" thickBot="1" x14ac:dyDescent="0.25">
      <c r="A23" s="415">
        <v>3</v>
      </c>
      <c r="B23" s="207" t="s">
        <v>17</v>
      </c>
      <c r="C23" s="208" t="s">
        <v>145</v>
      </c>
      <c r="D23" s="184" t="e">
        <f>#REF!+#REF!+D24+#REF!+#REF!</f>
        <v>#REF!</v>
      </c>
      <c r="E23" s="184" t="e">
        <f>#REF!+#REF!+E24+#REF!+#REF!</f>
        <v>#REF!</v>
      </c>
      <c r="F23" s="184" t="e">
        <f>#REF!+#REF!+F24+#REF!+#REF!</f>
        <v>#REF!</v>
      </c>
      <c r="G23" s="184">
        <f t="shared" ref="G23:P23" si="9">G28+G32</f>
        <v>9275.4</v>
      </c>
      <c r="H23" s="184">
        <f t="shared" si="9"/>
        <v>6457.7</v>
      </c>
      <c r="I23" s="184">
        <f t="shared" si="9"/>
        <v>10024</v>
      </c>
      <c r="J23" s="221">
        <f t="shared" si="9"/>
        <v>8512</v>
      </c>
      <c r="K23" s="159">
        <f t="shared" si="9"/>
        <v>9005.6959999999999</v>
      </c>
      <c r="L23" s="160">
        <f t="shared" si="9"/>
        <v>9501.0092800000002</v>
      </c>
      <c r="M23" s="162">
        <f t="shared" si="9"/>
        <v>2836.3333333333335</v>
      </c>
      <c r="N23" s="162">
        <f t="shared" si="9"/>
        <v>2836.3333333333335</v>
      </c>
      <c r="O23" s="162">
        <f t="shared" si="9"/>
        <v>2836.3333333333335</v>
      </c>
      <c r="P23" s="162">
        <f t="shared" si="9"/>
        <v>3</v>
      </c>
      <c r="Q23" s="143">
        <f>Q28+Q32</f>
        <v>9192.9599999999991</v>
      </c>
      <c r="R23" s="143">
        <f>R28+R32</f>
        <v>9827.2742400000006</v>
      </c>
      <c r="S23" s="325"/>
    </row>
    <row r="24" spans="1:19" s="6" customFormat="1" ht="30" hidden="1" customHeight="1" x14ac:dyDescent="0.2">
      <c r="A24" s="161"/>
      <c r="B24" s="166" t="s">
        <v>295</v>
      </c>
      <c r="C24" s="149" t="s">
        <v>296</v>
      </c>
      <c r="D24" s="150">
        <f>D29</f>
        <v>5500</v>
      </c>
      <c r="E24" s="150">
        <f>E29</f>
        <v>3350.4</v>
      </c>
      <c r="F24" s="150">
        <f>F29</f>
        <v>5025.6000000000004</v>
      </c>
      <c r="G24" s="157"/>
      <c r="H24" s="150">
        <f>H25</f>
        <v>0</v>
      </c>
      <c r="I24" s="150">
        <f>H24/8*12</f>
        <v>0</v>
      </c>
      <c r="J24" s="151">
        <f>I24*1.058</f>
        <v>0</v>
      </c>
      <c r="K24" s="155">
        <f t="shared" si="3"/>
        <v>0</v>
      </c>
      <c r="L24" s="156">
        <f t="shared" si="4"/>
        <v>0</v>
      </c>
      <c r="M24" s="154">
        <f t="shared" ref="M24:P27" si="10">L24*1.058</f>
        <v>0</v>
      </c>
      <c r="N24" s="154">
        <f t="shared" si="10"/>
        <v>0</v>
      </c>
      <c r="O24" s="154">
        <f t="shared" si="10"/>
        <v>0</v>
      </c>
      <c r="P24" s="154">
        <f t="shared" si="10"/>
        <v>0</v>
      </c>
      <c r="Q24" s="151">
        <f t="shared" ref="Q24:R27" si="11">P24*1.058</f>
        <v>0</v>
      </c>
      <c r="R24" s="151">
        <f t="shared" si="11"/>
        <v>0</v>
      </c>
      <c r="S24" s="325"/>
    </row>
    <row r="25" spans="1:19" s="6" customFormat="1" ht="57.75" hidden="1" customHeight="1" x14ac:dyDescent="0.2">
      <c r="A25" s="161"/>
      <c r="B25" s="166" t="s">
        <v>297</v>
      </c>
      <c r="C25" s="149" t="s">
        <v>298</v>
      </c>
      <c r="D25" s="150">
        <f>D29</f>
        <v>5500</v>
      </c>
      <c r="E25" s="150">
        <f>E29</f>
        <v>3350.4</v>
      </c>
      <c r="F25" s="150">
        <f>F29</f>
        <v>5025.6000000000004</v>
      </c>
      <c r="G25" s="157"/>
      <c r="H25" s="150">
        <f>H26</f>
        <v>0</v>
      </c>
      <c r="I25" s="150">
        <f>H25/8*12</f>
        <v>0</v>
      </c>
      <c r="J25" s="151">
        <f>I25*1.058</f>
        <v>0</v>
      </c>
      <c r="K25" s="155">
        <f t="shared" si="3"/>
        <v>0</v>
      </c>
      <c r="L25" s="156">
        <f t="shared" si="4"/>
        <v>0</v>
      </c>
      <c r="M25" s="154">
        <f t="shared" si="10"/>
        <v>0</v>
      </c>
      <c r="N25" s="154">
        <f t="shared" si="10"/>
        <v>0</v>
      </c>
      <c r="O25" s="154">
        <f t="shared" si="10"/>
        <v>0</v>
      </c>
      <c r="P25" s="154">
        <f t="shared" si="10"/>
        <v>0</v>
      </c>
      <c r="Q25" s="151">
        <f t="shared" si="11"/>
        <v>0</v>
      </c>
      <c r="R25" s="151">
        <f t="shared" si="11"/>
        <v>0</v>
      </c>
      <c r="S25" s="325"/>
    </row>
    <row r="26" spans="1:19" s="6" customFormat="1" ht="36" hidden="1" customHeight="1" x14ac:dyDescent="0.2">
      <c r="A26" s="161"/>
      <c r="B26" s="166" t="s">
        <v>299</v>
      </c>
      <c r="C26" s="149" t="s">
        <v>300</v>
      </c>
      <c r="D26" s="150">
        <f>D29</f>
        <v>5500</v>
      </c>
      <c r="E26" s="150">
        <v>3350.4</v>
      </c>
      <c r="F26" s="150">
        <f>F29</f>
        <v>5025.6000000000004</v>
      </c>
      <c r="G26" s="157"/>
      <c r="H26" s="150">
        <f>H27</f>
        <v>0</v>
      </c>
      <c r="I26" s="150">
        <f>H26/8*12</f>
        <v>0</v>
      </c>
      <c r="J26" s="151">
        <f>I26*1.058</f>
        <v>0</v>
      </c>
      <c r="K26" s="155">
        <f t="shared" si="3"/>
        <v>0</v>
      </c>
      <c r="L26" s="156">
        <f t="shared" si="4"/>
        <v>0</v>
      </c>
      <c r="M26" s="154">
        <f t="shared" si="10"/>
        <v>0</v>
      </c>
      <c r="N26" s="154">
        <f t="shared" si="10"/>
        <v>0</v>
      </c>
      <c r="O26" s="154">
        <f t="shared" si="10"/>
        <v>0</v>
      </c>
      <c r="P26" s="154">
        <f t="shared" si="10"/>
        <v>0</v>
      </c>
      <c r="Q26" s="151">
        <f t="shared" si="11"/>
        <v>0</v>
      </c>
      <c r="R26" s="151">
        <f t="shared" si="11"/>
        <v>0</v>
      </c>
      <c r="S26" s="325"/>
    </row>
    <row r="27" spans="1:19" s="6" customFormat="1" ht="51" hidden="1" x14ac:dyDescent="0.2">
      <c r="A27" s="161"/>
      <c r="B27" s="166" t="s">
        <v>301</v>
      </c>
      <c r="C27" s="149" t="s">
        <v>302</v>
      </c>
      <c r="D27" s="150">
        <v>5500</v>
      </c>
      <c r="E27" s="150">
        <v>3350.4</v>
      </c>
      <c r="F27" s="150">
        <f>E27/8*12</f>
        <v>5025.6000000000004</v>
      </c>
      <c r="G27" s="157"/>
      <c r="H27" s="150">
        <f>G27*1.05</f>
        <v>0</v>
      </c>
      <c r="I27" s="150">
        <f>H27/8*12</f>
        <v>0</v>
      </c>
      <c r="J27" s="151">
        <f>I27*1.058</f>
        <v>0</v>
      </c>
      <c r="K27" s="155">
        <f t="shared" si="3"/>
        <v>0</v>
      </c>
      <c r="L27" s="156">
        <f t="shared" si="4"/>
        <v>0</v>
      </c>
      <c r="M27" s="154">
        <f t="shared" si="10"/>
        <v>0</v>
      </c>
      <c r="N27" s="154">
        <f t="shared" si="10"/>
        <v>0</v>
      </c>
      <c r="O27" s="154">
        <f t="shared" si="10"/>
        <v>0</v>
      </c>
      <c r="P27" s="154">
        <f t="shared" si="10"/>
        <v>0</v>
      </c>
      <c r="Q27" s="151">
        <f t="shared" si="11"/>
        <v>0</v>
      </c>
      <c r="R27" s="151">
        <f t="shared" si="11"/>
        <v>0</v>
      </c>
      <c r="S27" s="325"/>
    </row>
    <row r="28" spans="1:19" s="6" customFormat="1" ht="83.25" customHeight="1" x14ac:dyDescent="0.2">
      <c r="A28" s="147" t="s">
        <v>66</v>
      </c>
      <c r="B28" s="166" t="s">
        <v>159</v>
      </c>
      <c r="C28" s="149" t="s">
        <v>201</v>
      </c>
      <c r="D28" s="184"/>
      <c r="E28" s="184"/>
      <c r="F28" s="184"/>
      <c r="G28" s="150">
        <f t="shared" ref="G28:J30" si="12">G29</f>
        <v>9251.4</v>
      </c>
      <c r="H28" s="150">
        <f t="shared" si="12"/>
        <v>6445.7</v>
      </c>
      <c r="I28" s="150">
        <f t="shared" si="12"/>
        <v>10000</v>
      </c>
      <c r="J28" s="151">
        <f t="shared" si="12"/>
        <v>8500</v>
      </c>
      <c r="K28" s="155">
        <f t="shared" si="3"/>
        <v>8993</v>
      </c>
      <c r="L28" s="156">
        <f t="shared" si="4"/>
        <v>9487.6149999999998</v>
      </c>
      <c r="M28" s="154">
        <f t="shared" ref="M28:P30" si="13">M29</f>
        <v>2833.3333333333335</v>
      </c>
      <c r="N28" s="154">
        <f t="shared" si="13"/>
        <v>2833.3333333333335</v>
      </c>
      <c r="O28" s="154">
        <f t="shared" si="13"/>
        <v>2833.3333333333335</v>
      </c>
      <c r="P28" s="154">
        <f t="shared" si="13"/>
        <v>0</v>
      </c>
      <c r="Q28" s="151">
        <f t="shared" ref="Q28:R30" si="14">Q29</f>
        <v>9180</v>
      </c>
      <c r="R28" s="151">
        <f t="shared" si="14"/>
        <v>9813.42</v>
      </c>
      <c r="S28" s="325"/>
    </row>
    <row r="29" spans="1:19" s="6" customFormat="1" ht="70.5" customHeight="1" x14ac:dyDescent="0.2">
      <c r="A29" s="147" t="s">
        <v>67</v>
      </c>
      <c r="B29" s="166" t="s">
        <v>160</v>
      </c>
      <c r="C29" s="149" t="s">
        <v>146</v>
      </c>
      <c r="D29" s="150">
        <v>5500</v>
      </c>
      <c r="E29" s="150">
        <v>3350.4</v>
      </c>
      <c r="F29" s="150">
        <f>E29/8*12</f>
        <v>5025.6000000000004</v>
      </c>
      <c r="G29" s="150">
        <f t="shared" si="12"/>
        <v>9251.4</v>
      </c>
      <c r="H29" s="150">
        <f t="shared" si="12"/>
        <v>6445.7</v>
      </c>
      <c r="I29" s="150">
        <f>I30</f>
        <v>10000</v>
      </c>
      <c r="J29" s="151">
        <f t="shared" si="12"/>
        <v>8500</v>
      </c>
      <c r="K29" s="155">
        <f t="shared" si="3"/>
        <v>8993</v>
      </c>
      <c r="L29" s="156">
        <f t="shared" si="4"/>
        <v>9487.6149999999998</v>
      </c>
      <c r="M29" s="154">
        <f t="shared" si="13"/>
        <v>2833.3333333333335</v>
      </c>
      <c r="N29" s="154">
        <f t="shared" si="13"/>
        <v>2833.3333333333335</v>
      </c>
      <c r="O29" s="154">
        <f t="shared" si="13"/>
        <v>2833.3333333333335</v>
      </c>
      <c r="P29" s="154">
        <f t="shared" si="13"/>
        <v>0</v>
      </c>
      <c r="Q29" s="151">
        <f t="shared" si="14"/>
        <v>9180</v>
      </c>
      <c r="R29" s="151">
        <f t="shared" si="14"/>
        <v>9813.42</v>
      </c>
      <c r="S29" s="325"/>
    </row>
    <row r="30" spans="1:19" s="6" customFormat="1" ht="84" customHeight="1" x14ac:dyDescent="0.2">
      <c r="A30" s="147" t="s">
        <v>140</v>
      </c>
      <c r="B30" s="166" t="s">
        <v>281</v>
      </c>
      <c r="C30" s="149" t="s">
        <v>540</v>
      </c>
      <c r="D30" s="184">
        <f>D31</f>
        <v>3450</v>
      </c>
      <c r="E30" s="184">
        <f>E31</f>
        <v>1791.7</v>
      </c>
      <c r="F30" s="184">
        <f>F31</f>
        <v>2090</v>
      </c>
      <c r="G30" s="150">
        <f>G31</f>
        <v>9251.4</v>
      </c>
      <c r="H30" s="150">
        <f t="shared" si="12"/>
        <v>6445.7</v>
      </c>
      <c r="I30" s="150">
        <f>I31</f>
        <v>10000</v>
      </c>
      <c r="J30" s="151">
        <f>J31</f>
        <v>8500</v>
      </c>
      <c r="K30" s="155">
        <f t="shared" si="3"/>
        <v>8993</v>
      </c>
      <c r="L30" s="156">
        <f t="shared" si="4"/>
        <v>9487.6149999999998</v>
      </c>
      <c r="M30" s="154">
        <f t="shared" si="13"/>
        <v>2833.3333333333335</v>
      </c>
      <c r="N30" s="154">
        <f t="shared" si="13"/>
        <v>2833.3333333333335</v>
      </c>
      <c r="O30" s="154">
        <f t="shared" si="13"/>
        <v>2833.3333333333335</v>
      </c>
      <c r="P30" s="154">
        <f t="shared" si="13"/>
        <v>0</v>
      </c>
      <c r="Q30" s="151">
        <f t="shared" si="14"/>
        <v>9180</v>
      </c>
      <c r="R30" s="151">
        <f t="shared" si="14"/>
        <v>9813.42</v>
      </c>
      <c r="S30" s="325"/>
    </row>
    <row r="31" spans="1:19" s="6" customFormat="1" ht="65.099999999999994" customHeight="1" x14ac:dyDescent="0.2">
      <c r="A31" s="147" t="s">
        <v>282</v>
      </c>
      <c r="B31" s="166" t="s">
        <v>233</v>
      </c>
      <c r="C31" s="149" t="s">
        <v>59</v>
      </c>
      <c r="D31" s="150">
        <f>D32</f>
        <v>3450</v>
      </c>
      <c r="E31" s="150">
        <f>E32</f>
        <v>1791.7</v>
      </c>
      <c r="F31" s="150">
        <f>F32</f>
        <v>2090</v>
      </c>
      <c r="G31" s="150">
        <f>9214.3+37.1</f>
        <v>9251.4</v>
      </c>
      <c r="H31" s="150">
        <v>6445.7</v>
      </c>
      <c r="I31" s="150">
        <v>10000</v>
      </c>
      <c r="J31" s="151">
        <v>8500</v>
      </c>
      <c r="K31" s="155">
        <f t="shared" si="3"/>
        <v>8993</v>
      </c>
      <c r="L31" s="156">
        <f t="shared" si="4"/>
        <v>9487.6149999999998</v>
      </c>
      <c r="M31" s="154">
        <f>J31/3</f>
        <v>2833.3333333333335</v>
      </c>
      <c r="N31" s="154">
        <f>J31/3</f>
        <v>2833.3333333333335</v>
      </c>
      <c r="O31" s="154">
        <f>J31/3</f>
        <v>2833.3333333333335</v>
      </c>
      <c r="P31" s="154">
        <v>0</v>
      </c>
      <c r="Q31" s="151">
        <f>J31*108%</f>
        <v>9180</v>
      </c>
      <c r="R31" s="151">
        <f>Q31*106.9%</f>
        <v>9813.42</v>
      </c>
      <c r="S31" s="325"/>
    </row>
    <row r="32" spans="1:19" s="6" customFormat="1" ht="31.5" customHeight="1" x14ac:dyDescent="0.2">
      <c r="A32" s="147" t="s">
        <v>283</v>
      </c>
      <c r="B32" s="166" t="s">
        <v>284</v>
      </c>
      <c r="C32" s="149" t="s">
        <v>324</v>
      </c>
      <c r="D32" s="150">
        <f>D33</f>
        <v>3450</v>
      </c>
      <c r="E32" s="150">
        <f>E33</f>
        <v>1791.7</v>
      </c>
      <c r="F32" s="150">
        <v>2090</v>
      </c>
      <c r="G32" s="150">
        <f t="shared" ref="G32:R32" si="15">G33</f>
        <v>24</v>
      </c>
      <c r="H32" s="150">
        <f t="shared" si="15"/>
        <v>12</v>
      </c>
      <c r="I32" s="150">
        <f t="shared" si="15"/>
        <v>24</v>
      </c>
      <c r="J32" s="151">
        <f t="shared" si="15"/>
        <v>12</v>
      </c>
      <c r="K32" s="169">
        <f t="shared" si="15"/>
        <v>12.696000000000002</v>
      </c>
      <c r="L32" s="170">
        <f t="shared" si="15"/>
        <v>13.39428</v>
      </c>
      <c r="M32" s="154">
        <f t="shared" si="15"/>
        <v>3</v>
      </c>
      <c r="N32" s="154">
        <f t="shared" si="15"/>
        <v>3</v>
      </c>
      <c r="O32" s="154">
        <f t="shared" si="15"/>
        <v>3</v>
      </c>
      <c r="P32" s="154">
        <f t="shared" si="15"/>
        <v>3</v>
      </c>
      <c r="Q32" s="151">
        <f t="shared" si="15"/>
        <v>12.96</v>
      </c>
      <c r="R32" s="151">
        <f t="shared" si="15"/>
        <v>13.854240000000001</v>
      </c>
      <c r="S32" s="325"/>
    </row>
    <row r="33" spans="1:24" s="6" customFormat="1" ht="75.75" customHeight="1" x14ac:dyDescent="0.2">
      <c r="A33" s="147" t="s">
        <v>285</v>
      </c>
      <c r="B33" s="166" t="s">
        <v>286</v>
      </c>
      <c r="C33" s="149" t="s">
        <v>433</v>
      </c>
      <c r="D33" s="150">
        <v>3450</v>
      </c>
      <c r="E33" s="150">
        <v>1791.7</v>
      </c>
      <c r="F33" s="150">
        <v>2090</v>
      </c>
      <c r="G33" s="150">
        <v>24</v>
      </c>
      <c r="H33" s="150">
        <v>12</v>
      </c>
      <c r="I33" s="150">
        <v>24</v>
      </c>
      <c r="J33" s="151">
        <v>12</v>
      </c>
      <c r="K33" s="155">
        <f t="shared" si="3"/>
        <v>12.696000000000002</v>
      </c>
      <c r="L33" s="156">
        <f t="shared" si="4"/>
        <v>13.39428</v>
      </c>
      <c r="M33" s="154">
        <f>J33/4</f>
        <v>3</v>
      </c>
      <c r="N33" s="154">
        <f>J33/4</f>
        <v>3</v>
      </c>
      <c r="O33" s="154">
        <f>J33/4</f>
        <v>3</v>
      </c>
      <c r="P33" s="154">
        <f>J33/4</f>
        <v>3</v>
      </c>
      <c r="Q33" s="151">
        <f>J33*108%</f>
        <v>12.96</v>
      </c>
      <c r="R33" s="151">
        <f>Q33*106.9%</f>
        <v>13.854240000000001</v>
      </c>
      <c r="S33" s="325"/>
    </row>
    <row r="34" spans="1:24" s="6" customFormat="1" ht="25.5" hidden="1" x14ac:dyDescent="0.2">
      <c r="A34" s="415">
        <v>4</v>
      </c>
      <c r="B34" s="207" t="s">
        <v>57</v>
      </c>
      <c r="C34" s="208" t="s">
        <v>234</v>
      </c>
      <c r="D34" s="184">
        <f>D35</f>
        <v>140</v>
      </c>
      <c r="E34" s="184">
        <f t="shared" ref="E34:H36" si="16">E35</f>
        <v>88</v>
      </c>
      <c r="F34" s="184">
        <f t="shared" si="16"/>
        <v>132</v>
      </c>
      <c r="G34" s="184">
        <f t="shared" si="16"/>
        <v>0</v>
      </c>
      <c r="H34" s="184">
        <f t="shared" si="16"/>
        <v>0</v>
      </c>
      <c r="I34" s="150">
        <f>H34/8*12</f>
        <v>0</v>
      </c>
      <c r="J34" s="151">
        <f>I34*1.058</f>
        <v>0</v>
      </c>
      <c r="K34" s="155">
        <f t="shared" si="3"/>
        <v>0</v>
      </c>
      <c r="L34" s="156">
        <f t="shared" si="4"/>
        <v>0</v>
      </c>
      <c r="M34" s="154"/>
      <c r="N34" s="154"/>
      <c r="O34" s="154"/>
      <c r="P34" s="154"/>
      <c r="Q34" s="151">
        <f t="shared" ref="Q34:R37" si="17">P34*1.058</f>
        <v>0</v>
      </c>
      <c r="R34" s="151">
        <f t="shared" si="17"/>
        <v>0</v>
      </c>
      <c r="S34" s="325"/>
    </row>
    <row r="35" spans="1:24" s="6" customFormat="1" ht="31.5" hidden="1" customHeight="1" x14ac:dyDescent="0.2">
      <c r="A35" s="147" t="s">
        <v>68</v>
      </c>
      <c r="B35" s="166" t="s">
        <v>235</v>
      </c>
      <c r="C35" s="149" t="s">
        <v>236</v>
      </c>
      <c r="D35" s="150">
        <f>D36</f>
        <v>140</v>
      </c>
      <c r="E35" s="150">
        <f t="shared" si="16"/>
        <v>88</v>
      </c>
      <c r="F35" s="150">
        <f t="shared" si="16"/>
        <v>132</v>
      </c>
      <c r="G35" s="150">
        <f t="shared" si="16"/>
        <v>0</v>
      </c>
      <c r="H35" s="150"/>
      <c r="I35" s="150">
        <f>H35/8*12</f>
        <v>0</v>
      </c>
      <c r="J35" s="151">
        <f>I35*1.058</f>
        <v>0</v>
      </c>
      <c r="K35" s="155">
        <f t="shared" si="3"/>
        <v>0</v>
      </c>
      <c r="L35" s="156">
        <f t="shared" si="4"/>
        <v>0</v>
      </c>
      <c r="M35" s="154"/>
      <c r="N35" s="154"/>
      <c r="O35" s="154"/>
      <c r="P35" s="154"/>
      <c r="Q35" s="151">
        <f t="shared" si="17"/>
        <v>0</v>
      </c>
      <c r="R35" s="151">
        <f t="shared" si="17"/>
        <v>0</v>
      </c>
      <c r="S35" s="325"/>
    </row>
    <row r="36" spans="1:24" s="5" customFormat="1" ht="44.25" hidden="1" customHeight="1" x14ac:dyDescent="0.2">
      <c r="A36" s="147" t="s">
        <v>69</v>
      </c>
      <c r="B36" s="166" t="s">
        <v>237</v>
      </c>
      <c r="C36" s="149" t="s">
        <v>238</v>
      </c>
      <c r="D36" s="150">
        <f>D37+D42</f>
        <v>140</v>
      </c>
      <c r="E36" s="150">
        <v>88</v>
      </c>
      <c r="F36" s="150">
        <f>E36/8*12</f>
        <v>132</v>
      </c>
      <c r="G36" s="150">
        <f t="shared" si="16"/>
        <v>0</v>
      </c>
      <c r="H36" s="150"/>
      <c r="I36" s="150">
        <f>H36/8*12</f>
        <v>0</v>
      </c>
      <c r="J36" s="151">
        <f>I36*1.058</f>
        <v>0</v>
      </c>
      <c r="K36" s="155">
        <f t="shared" si="3"/>
        <v>0</v>
      </c>
      <c r="L36" s="156">
        <f t="shared" si="4"/>
        <v>0</v>
      </c>
      <c r="M36" s="154"/>
      <c r="N36" s="154"/>
      <c r="O36" s="154"/>
      <c r="P36" s="154"/>
      <c r="Q36" s="151">
        <f t="shared" si="17"/>
        <v>0</v>
      </c>
      <c r="R36" s="151">
        <f t="shared" si="17"/>
        <v>0</v>
      </c>
      <c r="S36" s="326"/>
    </row>
    <row r="37" spans="1:24" s="5" customFormat="1" ht="76.5" hidden="1" customHeight="1" thickBot="1" x14ac:dyDescent="0.25">
      <c r="A37" s="147" t="s">
        <v>70</v>
      </c>
      <c r="B37" s="166" t="s">
        <v>239</v>
      </c>
      <c r="C37" s="149" t="s">
        <v>150</v>
      </c>
      <c r="D37" s="150">
        <v>125</v>
      </c>
      <c r="E37" s="150">
        <v>88</v>
      </c>
      <c r="F37" s="150">
        <f>E37/8*12</f>
        <v>132</v>
      </c>
      <c r="G37" s="150">
        <v>0</v>
      </c>
      <c r="H37" s="150"/>
      <c r="I37" s="150">
        <f>H37/8*12</f>
        <v>0</v>
      </c>
      <c r="J37" s="151">
        <f>I37*1.058</f>
        <v>0</v>
      </c>
      <c r="K37" s="155">
        <f t="shared" si="3"/>
        <v>0</v>
      </c>
      <c r="L37" s="156">
        <f t="shared" si="4"/>
        <v>0</v>
      </c>
      <c r="M37" s="154"/>
      <c r="N37" s="154"/>
      <c r="O37" s="154"/>
      <c r="P37" s="154"/>
      <c r="Q37" s="151">
        <f t="shared" si="17"/>
        <v>0</v>
      </c>
      <c r="R37" s="151">
        <f t="shared" si="17"/>
        <v>0</v>
      </c>
      <c r="S37" s="326"/>
    </row>
    <row r="38" spans="1:24" s="5" customFormat="1" ht="43.5" customHeight="1" x14ac:dyDescent="0.2">
      <c r="A38" s="126" t="s">
        <v>287</v>
      </c>
      <c r="B38" s="207" t="s">
        <v>57</v>
      </c>
      <c r="C38" s="416" t="s">
        <v>417</v>
      </c>
      <c r="D38" s="150">
        <v>15</v>
      </c>
      <c r="E38" s="150">
        <v>0</v>
      </c>
      <c r="F38" s="150">
        <v>15</v>
      </c>
      <c r="G38" s="221">
        <f t="shared" ref="G38:L40" si="18">G39</f>
        <v>0</v>
      </c>
      <c r="H38" s="221">
        <f t="shared" si="18"/>
        <v>0</v>
      </c>
      <c r="I38" s="221">
        <f t="shared" si="18"/>
        <v>1402.9</v>
      </c>
      <c r="J38" s="221">
        <f>J39</f>
        <v>1023.2</v>
      </c>
      <c r="K38" s="179">
        <f t="shared" si="18"/>
        <v>1082.5456000000001</v>
      </c>
      <c r="L38" s="179">
        <f t="shared" si="18"/>
        <v>1142.0856080000001</v>
      </c>
      <c r="M38" s="180"/>
      <c r="N38" s="180"/>
      <c r="O38" s="180"/>
      <c r="P38" s="180"/>
      <c r="Q38" s="179">
        <f>Q39+Q43</f>
        <v>1246.104</v>
      </c>
      <c r="R38" s="179">
        <f>R39+R43</f>
        <v>1332.085176</v>
      </c>
      <c r="S38" s="326"/>
    </row>
    <row r="39" spans="1:24" s="5" customFormat="1" ht="31.5" customHeight="1" x14ac:dyDescent="0.2">
      <c r="A39" s="181" t="s">
        <v>68</v>
      </c>
      <c r="B39" s="166" t="s">
        <v>418</v>
      </c>
      <c r="C39" s="182" t="s">
        <v>419</v>
      </c>
      <c r="D39" s="150" t="e">
        <f>D40+#REF!</f>
        <v>#REF!</v>
      </c>
      <c r="E39" s="150" t="e">
        <f>E40+#REF!</f>
        <v>#REF!</v>
      </c>
      <c r="F39" s="150" t="e">
        <f>F40+#REF!</f>
        <v>#REF!</v>
      </c>
      <c r="G39" s="151">
        <f t="shared" si="18"/>
        <v>0</v>
      </c>
      <c r="H39" s="151">
        <f t="shared" si="18"/>
        <v>0</v>
      </c>
      <c r="I39" s="151">
        <f t="shared" si="18"/>
        <v>1402.9</v>
      </c>
      <c r="J39" s="151">
        <f t="shared" si="18"/>
        <v>1023.2</v>
      </c>
      <c r="K39" s="143">
        <f t="shared" si="18"/>
        <v>1082.5456000000001</v>
      </c>
      <c r="L39" s="143">
        <f t="shared" si="18"/>
        <v>1142.0856080000001</v>
      </c>
      <c r="M39" s="180"/>
      <c r="N39" s="180"/>
      <c r="O39" s="180"/>
      <c r="P39" s="180"/>
      <c r="Q39" s="151">
        <f>Q40</f>
        <v>1105.056</v>
      </c>
      <c r="R39" s="151">
        <f>R40</f>
        <v>1181.304864</v>
      </c>
      <c r="S39" s="326"/>
    </row>
    <row r="40" spans="1:24" s="5" customFormat="1" ht="45" customHeight="1" x14ac:dyDescent="0.2">
      <c r="A40" s="181" t="s">
        <v>69</v>
      </c>
      <c r="B40" s="166" t="s">
        <v>420</v>
      </c>
      <c r="C40" s="183" t="s">
        <v>541</v>
      </c>
      <c r="D40" s="184">
        <f>D41+D52+D49</f>
        <v>11683.4</v>
      </c>
      <c r="E40" s="184">
        <f>E41+E52+E49</f>
        <v>8755.2000000000007</v>
      </c>
      <c r="F40" s="184">
        <f>F41+F52+F49</f>
        <v>11683.4</v>
      </c>
      <c r="G40" s="151">
        <f>G41</f>
        <v>0</v>
      </c>
      <c r="H40" s="151">
        <f>H41</f>
        <v>0</v>
      </c>
      <c r="I40" s="151">
        <f t="shared" si="18"/>
        <v>1402.9</v>
      </c>
      <c r="J40" s="151">
        <f t="shared" si="18"/>
        <v>1023.2</v>
      </c>
      <c r="K40" s="151">
        <f t="shared" si="18"/>
        <v>1082.5456000000001</v>
      </c>
      <c r="L40" s="151">
        <f t="shared" si="18"/>
        <v>1142.0856080000001</v>
      </c>
      <c r="M40" s="180"/>
      <c r="N40" s="180"/>
      <c r="O40" s="180"/>
      <c r="P40" s="180"/>
      <c r="Q40" s="151">
        <f>Q41</f>
        <v>1105.056</v>
      </c>
      <c r="R40" s="151">
        <f>R41</f>
        <v>1181.304864</v>
      </c>
      <c r="S40" s="326"/>
    </row>
    <row r="41" spans="1:24" s="4" customFormat="1" ht="72" customHeight="1" thickBot="1" x14ac:dyDescent="0.25">
      <c r="A41" s="181" t="s">
        <v>70</v>
      </c>
      <c r="B41" s="166" t="s">
        <v>614</v>
      </c>
      <c r="C41" s="183" t="s">
        <v>150</v>
      </c>
      <c r="D41" s="184">
        <f>D46</f>
        <v>5841.7</v>
      </c>
      <c r="E41" s="184">
        <f>E46</f>
        <v>4377.6000000000004</v>
      </c>
      <c r="F41" s="184">
        <f>F46</f>
        <v>5841.7</v>
      </c>
      <c r="G41" s="151">
        <v>0</v>
      </c>
      <c r="H41" s="151">
        <v>0</v>
      </c>
      <c r="I41" s="151">
        <v>1402.9</v>
      </c>
      <c r="J41" s="151">
        <v>1023.2</v>
      </c>
      <c r="K41" s="151">
        <f>J41*1.058</f>
        <v>1082.5456000000001</v>
      </c>
      <c r="L41" s="151">
        <f>K41*1.055</f>
        <v>1142.0856080000001</v>
      </c>
      <c r="M41" s="185"/>
      <c r="N41" s="185"/>
      <c r="O41" s="185"/>
      <c r="P41" s="185"/>
      <c r="Q41" s="151">
        <f>J41*108%</f>
        <v>1105.056</v>
      </c>
      <c r="R41" s="151">
        <f>Q41*106.9%</f>
        <v>1181.304864</v>
      </c>
      <c r="S41" s="324"/>
    </row>
    <row r="42" spans="1:24" s="5" customFormat="1" ht="33" customHeight="1" thickBot="1" x14ac:dyDescent="0.25">
      <c r="A42" s="415" t="s">
        <v>531</v>
      </c>
      <c r="B42" s="207" t="s">
        <v>19</v>
      </c>
      <c r="C42" s="208" t="s">
        <v>18</v>
      </c>
      <c r="D42" s="150">
        <v>15</v>
      </c>
      <c r="E42" s="150">
        <v>0</v>
      </c>
      <c r="F42" s="150">
        <v>15</v>
      </c>
      <c r="G42" s="184">
        <f t="shared" ref="G42:R43" si="19">G43</f>
        <v>30</v>
      </c>
      <c r="H42" s="184">
        <f t="shared" si="19"/>
        <v>19.8</v>
      </c>
      <c r="I42" s="184">
        <f t="shared" si="19"/>
        <v>35</v>
      </c>
      <c r="J42" s="221">
        <f t="shared" si="19"/>
        <v>130.6</v>
      </c>
      <c r="K42" s="187">
        <f t="shared" si="19"/>
        <v>138.1748</v>
      </c>
      <c r="L42" s="188">
        <f t="shared" si="19"/>
        <v>145.77441400000001</v>
      </c>
      <c r="M42" s="146">
        <f t="shared" si="19"/>
        <v>32.65</v>
      </c>
      <c r="N42" s="146">
        <f t="shared" si="19"/>
        <v>32.65</v>
      </c>
      <c r="O42" s="146">
        <f t="shared" si="19"/>
        <v>32.65</v>
      </c>
      <c r="P42" s="146">
        <f t="shared" si="19"/>
        <v>32.65</v>
      </c>
      <c r="Q42" s="143">
        <f t="shared" si="19"/>
        <v>141.048</v>
      </c>
      <c r="R42" s="143">
        <f t="shared" si="19"/>
        <v>150.78031199999998</v>
      </c>
      <c r="S42" s="326"/>
    </row>
    <row r="43" spans="1:24" s="5" customFormat="1" ht="30" customHeight="1" x14ac:dyDescent="0.2">
      <c r="A43" s="147" t="s">
        <v>71</v>
      </c>
      <c r="B43" s="166" t="s">
        <v>49</v>
      </c>
      <c r="C43" s="189" t="s">
        <v>54</v>
      </c>
      <c r="D43" s="184" t="e">
        <f>D44+#REF!</f>
        <v>#REF!</v>
      </c>
      <c r="E43" s="184" t="e">
        <f>E44+#REF!</f>
        <v>#REF!</v>
      </c>
      <c r="F43" s="184" t="e">
        <f>F44+#REF!</f>
        <v>#REF!</v>
      </c>
      <c r="G43" s="150">
        <f t="shared" si="19"/>
        <v>30</v>
      </c>
      <c r="H43" s="150">
        <f t="shared" si="19"/>
        <v>19.8</v>
      </c>
      <c r="I43" s="150">
        <f t="shared" si="19"/>
        <v>35</v>
      </c>
      <c r="J43" s="151">
        <f t="shared" si="19"/>
        <v>130.6</v>
      </c>
      <c r="K43" s="191">
        <f t="shared" si="19"/>
        <v>138.1748</v>
      </c>
      <c r="L43" s="153">
        <f t="shared" si="19"/>
        <v>145.77441400000001</v>
      </c>
      <c r="M43" s="154">
        <f t="shared" si="19"/>
        <v>32.65</v>
      </c>
      <c r="N43" s="154">
        <f t="shared" si="19"/>
        <v>32.65</v>
      </c>
      <c r="O43" s="154">
        <f t="shared" si="19"/>
        <v>32.65</v>
      </c>
      <c r="P43" s="154">
        <f t="shared" si="19"/>
        <v>32.65</v>
      </c>
      <c r="Q43" s="151">
        <f t="shared" si="19"/>
        <v>141.048</v>
      </c>
      <c r="R43" s="151">
        <f t="shared" si="19"/>
        <v>150.78031199999998</v>
      </c>
      <c r="S43" s="326"/>
    </row>
    <row r="44" spans="1:24" s="5" customFormat="1" ht="55.5" customHeight="1" x14ac:dyDescent="0.2">
      <c r="A44" s="147" t="s">
        <v>79</v>
      </c>
      <c r="B44" s="166" t="s">
        <v>53</v>
      </c>
      <c r="C44" s="189" t="s">
        <v>428</v>
      </c>
      <c r="D44" s="184">
        <f>D45+D53+D50</f>
        <v>6635.2</v>
      </c>
      <c r="E44" s="184">
        <f>E45+E53+E50</f>
        <v>4901.8</v>
      </c>
      <c r="F44" s="184">
        <f>F45+F53+F50</f>
        <v>6635.2</v>
      </c>
      <c r="G44" s="150">
        <f t="shared" ref="G44:P44" si="20">G45+G46</f>
        <v>30</v>
      </c>
      <c r="H44" s="150">
        <f t="shared" si="20"/>
        <v>19.8</v>
      </c>
      <c r="I44" s="150">
        <f t="shared" si="20"/>
        <v>35</v>
      </c>
      <c r="J44" s="151">
        <f t="shared" si="20"/>
        <v>130.6</v>
      </c>
      <c r="K44" s="192">
        <f t="shared" si="20"/>
        <v>138.1748</v>
      </c>
      <c r="L44" s="193">
        <f t="shared" si="20"/>
        <v>145.77441400000001</v>
      </c>
      <c r="M44" s="154">
        <f t="shared" si="20"/>
        <v>32.65</v>
      </c>
      <c r="N44" s="154">
        <f t="shared" si="20"/>
        <v>32.65</v>
      </c>
      <c r="O44" s="154">
        <f t="shared" si="20"/>
        <v>32.65</v>
      </c>
      <c r="P44" s="154">
        <f t="shared" si="20"/>
        <v>32.65</v>
      </c>
      <c r="Q44" s="151">
        <f>Q45+Q46</f>
        <v>141.048</v>
      </c>
      <c r="R44" s="151">
        <f>R45+R46</f>
        <v>150.78031199999998</v>
      </c>
      <c r="S44" s="326"/>
      <c r="X44" s="319"/>
    </row>
    <row r="45" spans="1:24" s="4" customFormat="1" ht="57.75" customHeight="1" x14ac:dyDescent="0.2">
      <c r="A45" s="147" t="s">
        <v>151</v>
      </c>
      <c r="B45" s="148" t="s">
        <v>162</v>
      </c>
      <c r="C45" s="189" t="s">
        <v>202</v>
      </c>
      <c r="D45" s="184">
        <f>D49</f>
        <v>5841.7</v>
      </c>
      <c r="E45" s="184">
        <f>E49</f>
        <v>4377.6000000000004</v>
      </c>
      <c r="F45" s="184">
        <f>F49</f>
        <v>5841.7</v>
      </c>
      <c r="G45" s="150">
        <v>20</v>
      </c>
      <c r="H45" s="150">
        <v>19.8</v>
      </c>
      <c r="I45" s="150">
        <v>30</v>
      </c>
      <c r="J45" s="151">
        <f>SUM(J47:J48)</f>
        <v>130.6</v>
      </c>
      <c r="K45" s="155">
        <f t="shared" si="3"/>
        <v>138.1748</v>
      </c>
      <c r="L45" s="156">
        <f t="shared" si="4"/>
        <v>145.77441400000001</v>
      </c>
      <c r="M45" s="154">
        <f>J45/4</f>
        <v>32.65</v>
      </c>
      <c r="N45" s="154">
        <f>J45/4</f>
        <v>32.65</v>
      </c>
      <c r="O45" s="154">
        <f>J45/4</f>
        <v>32.65</v>
      </c>
      <c r="P45" s="154">
        <f>J45/4</f>
        <v>32.65</v>
      </c>
      <c r="Q45" s="151">
        <f>J45*108%</f>
        <v>141.048</v>
      </c>
      <c r="R45" s="151">
        <f>Q45*106.9%</f>
        <v>150.78031199999998</v>
      </c>
      <c r="S45" s="324"/>
    </row>
    <row r="46" spans="1:24" s="6" customFormat="1" ht="61.5" hidden="1" customHeight="1" thickBot="1" x14ac:dyDescent="0.25">
      <c r="A46" s="147" t="s">
        <v>432</v>
      </c>
      <c r="B46" s="148" t="s">
        <v>172</v>
      </c>
      <c r="C46" s="149" t="s">
        <v>203</v>
      </c>
      <c r="D46" s="184">
        <f>D49</f>
        <v>5841.7</v>
      </c>
      <c r="E46" s="184">
        <f>E49</f>
        <v>4377.6000000000004</v>
      </c>
      <c r="F46" s="184">
        <f>F49</f>
        <v>5841.7</v>
      </c>
      <c r="G46" s="150">
        <v>10</v>
      </c>
      <c r="H46" s="150">
        <v>0</v>
      </c>
      <c r="I46" s="150">
        <v>5</v>
      </c>
      <c r="J46" s="151">
        <v>0</v>
      </c>
      <c r="K46" s="155">
        <f t="shared" si="3"/>
        <v>0</v>
      </c>
      <c r="L46" s="156">
        <f t="shared" si="4"/>
        <v>0</v>
      </c>
      <c r="M46" s="150">
        <v>0</v>
      </c>
      <c r="N46" s="150">
        <v>0</v>
      </c>
      <c r="O46" s="150">
        <v>0</v>
      </c>
      <c r="P46" s="150">
        <v>0</v>
      </c>
      <c r="Q46" s="151">
        <v>0</v>
      </c>
      <c r="R46" s="151">
        <v>0</v>
      </c>
      <c r="S46" s="325"/>
    </row>
    <row r="47" spans="1:24" s="6" customFormat="1" ht="61.5" customHeight="1" x14ac:dyDescent="0.2">
      <c r="A47" s="147" t="s">
        <v>607</v>
      </c>
      <c r="B47" s="148" t="s">
        <v>608</v>
      </c>
      <c r="C47" s="189" t="s">
        <v>202</v>
      </c>
      <c r="D47" s="184"/>
      <c r="E47" s="184"/>
      <c r="F47" s="184"/>
      <c r="G47" s="150"/>
      <c r="H47" s="150"/>
      <c r="I47" s="150"/>
      <c r="J47" s="151">
        <v>115.6</v>
      </c>
      <c r="K47" s="480"/>
      <c r="L47" s="480"/>
      <c r="M47" s="150"/>
      <c r="N47" s="150"/>
      <c r="O47" s="150"/>
      <c r="P47" s="150"/>
      <c r="Q47" s="151"/>
      <c r="R47" s="151"/>
      <c r="S47" s="325"/>
    </row>
    <row r="48" spans="1:24" s="6" customFormat="1" ht="61.5" customHeight="1" thickBot="1" x14ac:dyDescent="0.25">
      <c r="A48" s="147" t="s">
        <v>370</v>
      </c>
      <c r="B48" s="148" t="s">
        <v>609</v>
      </c>
      <c r="C48" s="189" t="s">
        <v>202</v>
      </c>
      <c r="D48" s="184"/>
      <c r="E48" s="184"/>
      <c r="F48" s="184"/>
      <c r="G48" s="150"/>
      <c r="H48" s="150"/>
      <c r="I48" s="150"/>
      <c r="J48" s="151">
        <v>15</v>
      </c>
      <c r="K48" s="480"/>
      <c r="L48" s="480"/>
      <c r="M48" s="150"/>
      <c r="N48" s="150"/>
      <c r="O48" s="150"/>
      <c r="P48" s="150"/>
      <c r="Q48" s="151"/>
      <c r="R48" s="151"/>
      <c r="S48" s="325"/>
    </row>
    <row r="49" spans="1:20" s="6" customFormat="1" ht="50.25" customHeight="1" thickBot="1" x14ac:dyDescent="0.25">
      <c r="A49" s="126" t="s">
        <v>47</v>
      </c>
      <c r="B49" s="207" t="s">
        <v>20</v>
      </c>
      <c r="C49" s="415" t="s">
        <v>163</v>
      </c>
      <c r="D49" s="150">
        <v>5841.7</v>
      </c>
      <c r="E49" s="150">
        <v>4377.6000000000004</v>
      </c>
      <c r="F49" s="150">
        <v>5841.7</v>
      </c>
      <c r="G49" s="184">
        <f t="shared" ref="G49:R49" si="21">G50</f>
        <v>22002.800000000003</v>
      </c>
      <c r="H49" s="184">
        <f t="shared" si="21"/>
        <v>6463.3</v>
      </c>
      <c r="I49" s="184">
        <f t="shared" si="21"/>
        <v>19569.800000000003</v>
      </c>
      <c r="J49" s="221">
        <f t="shared" si="21"/>
        <v>67577.400000000009</v>
      </c>
      <c r="K49" s="195">
        <f t="shared" si="21"/>
        <v>60474.2</v>
      </c>
      <c r="L49" s="196">
        <f t="shared" si="21"/>
        <v>60616</v>
      </c>
      <c r="M49" s="138">
        <f t="shared" si="21"/>
        <v>16894.350000000002</v>
      </c>
      <c r="N49" s="138">
        <f t="shared" si="21"/>
        <v>16894.350000000002</v>
      </c>
      <c r="O49" s="138">
        <f t="shared" si="21"/>
        <v>16894.350000000002</v>
      </c>
      <c r="P49" s="138">
        <f t="shared" si="21"/>
        <v>16894.350000000002</v>
      </c>
      <c r="Q49" s="135">
        <f t="shared" si="21"/>
        <v>72983.592000000004</v>
      </c>
      <c r="R49" s="135">
        <f t="shared" si="21"/>
        <v>78019.459847999999</v>
      </c>
      <c r="S49" s="325"/>
    </row>
    <row r="50" spans="1:20" s="6" customFormat="1" ht="42.75" customHeight="1" thickBot="1" x14ac:dyDescent="0.25">
      <c r="A50" s="415">
        <v>1</v>
      </c>
      <c r="B50" s="207" t="s">
        <v>152</v>
      </c>
      <c r="C50" s="208" t="s">
        <v>325</v>
      </c>
      <c r="D50" s="184">
        <v>0</v>
      </c>
      <c r="E50" s="184">
        <v>0</v>
      </c>
      <c r="F50" s="184">
        <v>0</v>
      </c>
      <c r="G50" s="184">
        <f t="shared" ref="G50:P50" si="22">G51+G57+G54</f>
        <v>22002.800000000003</v>
      </c>
      <c r="H50" s="184">
        <f t="shared" si="22"/>
        <v>6463.3</v>
      </c>
      <c r="I50" s="184">
        <f t="shared" si="22"/>
        <v>19569.800000000003</v>
      </c>
      <c r="J50" s="221">
        <f>J51+J57+J54</f>
        <v>67577.400000000009</v>
      </c>
      <c r="K50" s="197">
        <f t="shared" si="22"/>
        <v>60474.2</v>
      </c>
      <c r="L50" s="198">
        <f t="shared" si="22"/>
        <v>60616</v>
      </c>
      <c r="M50" s="146">
        <f t="shared" si="22"/>
        <v>16894.350000000002</v>
      </c>
      <c r="N50" s="146">
        <f t="shared" si="22"/>
        <v>16894.350000000002</v>
      </c>
      <c r="O50" s="146">
        <f t="shared" si="22"/>
        <v>16894.350000000002</v>
      </c>
      <c r="P50" s="146">
        <f t="shared" si="22"/>
        <v>16894.350000000002</v>
      </c>
      <c r="Q50" s="143">
        <f>Q51+Q57+Q54</f>
        <v>72983.592000000004</v>
      </c>
      <c r="R50" s="143">
        <f>R51+R57+R54</f>
        <v>78019.459847999999</v>
      </c>
      <c r="S50" s="325"/>
    </row>
    <row r="51" spans="1:20" s="5" customFormat="1" ht="36.75" customHeight="1" x14ac:dyDescent="0.2">
      <c r="A51" s="147" t="s">
        <v>62</v>
      </c>
      <c r="B51" s="148" t="s">
        <v>619</v>
      </c>
      <c r="C51" s="149" t="s">
        <v>646</v>
      </c>
      <c r="D51" s="150">
        <f>D52</f>
        <v>0</v>
      </c>
      <c r="E51" s="150">
        <f>E52</f>
        <v>0</v>
      </c>
      <c r="F51" s="150">
        <f>F52</f>
        <v>0</v>
      </c>
      <c r="G51" s="150">
        <f t="shared" ref="G51:P51" si="23">G53</f>
        <v>8472</v>
      </c>
      <c r="H51" s="150">
        <f t="shared" si="23"/>
        <v>5648</v>
      </c>
      <c r="I51" s="150">
        <f>H51/8*12</f>
        <v>8472</v>
      </c>
      <c r="J51" s="151">
        <f t="shared" si="23"/>
        <v>65773.3</v>
      </c>
      <c r="K51" s="199">
        <f t="shared" si="23"/>
        <v>58000</v>
      </c>
      <c r="L51" s="200">
        <f t="shared" si="23"/>
        <v>58000</v>
      </c>
      <c r="M51" s="154">
        <f t="shared" si="23"/>
        <v>16443.325000000001</v>
      </c>
      <c r="N51" s="154">
        <f t="shared" si="23"/>
        <v>16443.325000000001</v>
      </c>
      <c r="O51" s="154">
        <f t="shared" si="23"/>
        <v>16443.325000000001</v>
      </c>
      <c r="P51" s="154">
        <f t="shared" si="23"/>
        <v>16443.325000000001</v>
      </c>
      <c r="Q51" s="151">
        <f>Q53</f>
        <v>71035.164000000004</v>
      </c>
      <c r="R51" s="151">
        <f>R53</f>
        <v>75936.590316000002</v>
      </c>
      <c r="S51" s="326"/>
    </row>
    <row r="52" spans="1:20" s="5" customFormat="1" ht="63" customHeight="1" x14ac:dyDescent="0.2">
      <c r="A52" s="147" t="s">
        <v>45</v>
      </c>
      <c r="B52" s="148" t="s">
        <v>618</v>
      </c>
      <c r="C52" s="149" t="s">
        <v>154</v>
      </c>
      <c r="D52" s="150">
        <v>0</v>
      </c>
      <c r="E52" s="150">
        <v>0</v>
      </c>
      <c r="F52" s="150">
        <v>0</v>
      </c>
      <c r="G52" s="150">
        <f t="shared" ref="G52:R52" si="24">G53</f>
        <v>8472</v>
      </c>
      <c r="H52" s="150">
        <f t="shared" si="24"/>
        <v>5648</v>
      </c>
      <c r="I52" s="150">
        <f>H52/8*12</f>
        <v>8472</v>
      </c>
      <c r="J52" s="151">
        <f t="shared" si="24"/>
        <v>65773.3</v>
      </c>
      <c r="K52" s="201">
        <f t="shared" si="24"/>
        <v>58000</v>
      </c>
      <c r="L52" s="202">
        <f t="shared" si="24"/>
        <v>58000</v>
      </c>
      <c r="M52" s="154">
        <f t="shared" si="24"/>
        <v>16443.325000000001</v>
      </c>
      <c r="N52" s="154">
        <f t="shared" si="24"/>
        <v>16443.325000000001</v>
      </c>
      <c r="O52" s="154">
        <f t="shared" si="24"/>
        <v>16443.325000000001</v>
      </c>
      <c r="P52" s="154">
        <f t="shared" si="24"/>
        <v>16443.325000000001</v>
      </c>
      <c r="Q52" s="151">
        <f t="shared" si="24"/>
        <v>71035.164000000004</v>
      </c>
      <c r="R52" s="151">
        <f t="shared" si="24"/>
        <v>75936.590316000002</v>
      </c>
      <c r="S52" s="326"/>
      <c r="T52" s="326">
        <f>J65-J57</f>
        <v>102553.1</v>
      </c>
    </row>
    <row r="53" spans="1:20" s="5" customFormat="1" ht="57" customHeight="1" thickBot="1" x14ac:dyDescent="0.25">
      <c r="A53" s="147" t="s">
        <v>44</v>
      </c>
      <c r="B53" s="148" t="s">
        <v>623</v>
      </c>
      <c r="C53" s="149" t="s">
        <v>542</v>
      </c>
      <c r="D53" s="150">
        <f>D54+D58</f>
        <v>793.50000000000011</v>
      </c>
      <c r="E53" s="150">
        <f>E54+E58</f>
        <v>524.20000000000005</v>
      </c>
      <c r="F53" s="150">
        <f>F54+F58</f>
        <v>793.50000000000011</v>
      </c>
      <c r="G53" s="150">
        <v>8472</v>
      </c>
      <c r="H53" s="150">
        <v>5648</v>
      </c>
      <c r="I53" s="150">
        <f>H53/8*12</f>
        <v>8472</v>
      </c>
      <c r="J53" s="151">
        <v>65773.3</v>
      </c>
      <c r="K53" s="204">
        <v>58000</v>
      </c>
      <c r="L53" s="205">
        <v>58000</v>
      </c>
      <c r="M53" s="154">
        <f>J53/4</f>
        <v>16443.325000000001</v>
      </c>
      <c r="N53" s="154">
        <f>J53/4</f>
        <v>16443.325000000001</v>
      </c>
      <c r="O53" s="154">
        <f>J53/4</f>
        <v>16443.325000000001</v>
      </c>
      <c r="P53" s="154">
        <f>J53/4</f>
        <v>16443.325000000001</v>
      </c>
      <c r="Q53" s="151">
        <f>J53*108%</f>
        <v>71035.164000000004</v>
      </c>
      <c r="R53" s="151">
        <f>Q53*106.9%</f>
        <v>75936.590316000002</v>
      </c>
      <c r="S53" s="326"/>
      <c r="T53" s="326">
        <f>T52*0.278</f>
        <v>28509.761800000004</v>
      </c>
    </row>
    <row r="54" spans="1:20" s="5" customFormat="1" ht="53.25" hidden="1" customHeight="1" thickBot="1" x14ac:dyDescent="0.25">
      <c r="A54" s="415">
        <v>6</v>
      </c>
      <c r="B54" s="207" t="s">
        <v>217</v>
      </c>
      <c r="C54" s="208" t="s">
        <v>326</v>
      </c>
      <c r="D54" s="150">
        <f>D55</f>
        <v>565.40000000000009</v>
      </c>
      <c r="E54" s="150">
        <f t="shared" ref="E54:L55" si="25">E55</f>
        <v>410.1</v>
      </c>
      <c r="F54" s="150">
        <f t="shared" si="25"/>
        <v>565.40000000000009</v>
      </c>
      <c r="G54" s="184">
        <f t="shared" si="25"/>
        <v>11982.7</v>
      </c>
      <c r="H54" s="184">
        <f t="shared" si="25"/>
        <v>0</v>
      </c>
      <c r="I54" s="184">
        <f t="shared" si="25"/>
        <v>9982.7000000000007</v>
      </c>
      <c r="J54" s="221">
        <f t="shared" si="25"/>
        <v>0</v>
      </c>
      <c r="K54" s="187">
        <f t="shared" si="25"/>
        <v>0</v>
      </c>
      <c r="L54" s="188">
        <f t="shared" si="25"/>
        <v>0</v>
      </c>
      <c r="M54" s="146">
        <v>0</v>
      </c>
      <c r="N54" s="146">
        <v>0</v>
      </c>
      <c r="O54" s="146">
        <v>0</v>
      </c>
      <c r="P54" s="146">
        <v>0</v>
      </c>
      <c r="Q54" s="143">
        <f>Q55</f>
        <v>0</v>
      </c>
      <c r="R54" s="143">
        <f>R55</f>
        <v>0</v>
      </c>
      <c r="S54" s="326"/>
    </row>
    <row r="55" spans="1:20" s="6" customFormat="1" ht="13.5" hidden="1" thickBot="1" x14ac:dyDescent="0.25">
      <c r="A55" s="206" t="s">
        <v>141</v>
      </c>
      <c r="B55" s="207" t="s">
        <v>218</v>
      </c>
      <c r="C55" s="208" t="s">
        <v>219</v>
      </c>
      <c r="D55" s="150">
        <f>D56+D57</f>
        <v>565.40000000000009</v>
      </c>
      <c r="E55" s="150">
        <f>E56+E57</f>
        <v>410.1</v>
      </c>
      <c r="F55" s="150">
        <f>F56+F57</f>
        <v>565.40000000000009</v>
      </c>
      <c r="G55" s="150">
        <f t="shared" si="25"/>
        <v>11982.7</v>
      </c>
      <c r="H55" s="150">
        <f t="shared" si="25"/>
        <v>0</v>
      </c>
      <c r="I55" s="150">
        <f t="shared" si="25"/>
        <v>9982.7000000000007</v>
      </c>
      <c r="J55" s="151">
        <f t="shared" si="25"/>
        <v>0</v>
      </c>
      <c r="K55" s="210">
        <f t="shared" si="25"/>
        <v>0</v>
      </c>
      <c r="L55" s="211">
        <f t="shared" si="25"/>
        <v>0</v>
      </c>
      <c r="M55" s="154">
        <v>0</v>
      </c>
      <c r="N55" s="154">
        <v>0</v>
      </c>
      <c r="O55" s="154">
        <v>0</v>
      </c>
      <c r="P55" s="154">
        <v>0</v>
      </c>
      <c r="Q55" s="209">
        <f>Q56</f>
        <v>0</v>
      </c>
      <c r="R55" s="209">
        <f>R56</f>
        <v>0</v>
      </c>
      <c r="S55" s="325"/>
    </row>
    <row r="56" spans="1:20" ht="53.25" hidden="1" customHeight="1" thickBot="1" x14ac:dyDescent="0.25">
      <c r="A56" s="147" t="s">
        <v>51</v>
      </c>
      <c r="B56" s="148" t="s">
        <v>228</v>
      </c>
      <c r="C56" s="149" t="s">
        <v>229</v>
      </c>
      <c r="D56" s="150">
        <v>552.70000000000005</v>
      </c>
      <c r="E56" s="150">
        <v>410.1</v>
      </c>
      <c r="F56" s="150">
        <v>552.70000000000005</v>
      </c>
      <c r="G56" s="150">
        <v>11982.7</v>
      </c>
      <c r="H56" s="150">
        <v>0</v>
      </c>
      <c r="I56" s="150">
        <v>9982.7000000000007</v>
      </c>
      <c r="J56" s="151">
        <v>0</v>
      </c>
      <c r="K56" s="212"/>
      <c r="L56" s="213"/>
      <c r="M56" s="154">
        <v>0</v>
      </c>
      <c r="N56" s="154">
        <v>0</v>
      </c>
      <c r="O56" s="154">
        <v>0</v>
      </c>
      <c r="P56" s="154">
        <v>0</v>
      </c>
      <c r="Q56" s="209">
        <v>0</v>
      </c>
      <c r="R56" s="209">
        <v>0</v>
      </c>
    </row>
    <row r="57" spans="1:20" ht="42" customHeight="1" thickBot="1" x14ac:dyDescent="0.25">
      <c r="A57" s="415">
        <v>2</v>
      </c>
      <c r="B57" s="207" t="s">
        <v>85</v>
      </c>
      <c r="C57" s="208" t="s">
        <v>647</v>
      </c>
      <c r="D57" s="150">
        <v>12.7</v>
      </c>
      <c r="E57" s="150">
        <v>0</v>
      </c>
      <c r="F57" s="150">
        <v>12.7</v>
      </c>
      <c r="G57" s="184">
        <f t="shared" ref="G57:P57" si="26">G58+G62</f>
        <v>1548.1</v>
      </c>
      <c r="H57" s="184">
        <f t="shared" si="26"/>
        <v>815.3</v>
      </c>
      <c r="I57" s="184">
        <f t="shared" si="26"/>
        <v>1115.0999999999999</v>
      </c>
      <c r="J57" s="221">
        <f>J58+J62</f>
        <v>1804.1</v>
      </c>
      <c r="K57" s="187">
        <f t="shared" si="26"/>
        <v>2474.1999999999998</v>
      </c>
      <c r="L57" s="188">
        <f t="shared" si="26"/>
        <v>2616</v>
      </c>
      <c r="M57" s="146">
        <f t="shared" si="26"/>
        <v>451.02499999999998</v>
      </c>
      <c r="N57" s="146">
        <f t="shared" si="26"/>
        <v>451.02499999999998</v>
      </c>
      <c r="O57" s="146">
        <f t="shared" si="26"/>
        <v>451.02499999999998</v>
      </c>
      <c r="P57" s="146">
        <f t="shared" si="26"/>
        <v>451.02499999999998</v>
      </c>
      <c r="Q57" s="143">
        <f>Q58+Q62</f>
        <v>1948.4279999999999</v>
      </c>
      <c r="R57" s="143">
        <f>R58+R62</f>
        <v>2082.8695319999997</v>
      </c>
    </row>
    <row r="58" spans="1:20" ht="43.5" customHeight="1" x14ac:dyDescent="0.2">
      <c r="A58" s="147" t="s">
        <v>64</v>
      </c>
      <c r="B58" s="166" t="s">
        <v>87</v>
      </c>
      <c r="C58" s="149" t="s">
        <v>86</v>
      </c>
      <c r="D58" s="184">
        <f>D60</f>
        <v>228.1</v>
      </c>
      <c r="E58" s="184">
        <f>E60</f>
        <v>114.1</v>
      </c>
      <c r="F58" s="184">
        <f>F60</f>
        <v>228.1</v>
      </c>
      <c r="G58" s="150">
        <f t="shared" ref="G58:P58" si="27">G59</f>
        <v>662.2</v>
      </c>
      <c r="H58" s="150">
        <f t="shared" si="27"/>
        <v>485.4</v>
      </c>
      <c r="I58" s="150">
        <f>H58/8*12</f>
        <v>728.09999999999991</v>
      </c>
      <c r="J58" s="151">
        <f>J60+J61</f>
        <v>806.3</v>
      </c>
      <c r="K58" s="210">
        <f t="shared" si="27"/>
        <v>740.1</v>
      </c>
      <c r="L58" s="211">
        <f t="shared" si="27"/>
        <v>780.8</v>
      </c>
      <c r="M58" s="154">
        <f t="shared" si="27"/>
        <v>201.57499999999999</v>
      </c>
      <c r="N58" s="154">
        <f t="shared" si="27"/>
        <v>201.57499999999999</v>
      </c>
      <c r="O58" s="154">
        <f t="shared" si="27"/>
        <v>201.57499999999999</v>
      </c>
      <c r="P58" s="154">
        <f t="shared" si="27"/>
        <v>201.57499999999999</v>
      </c>
      <c r="Q58" s="209">
        <f>Q60+Q61</f>
        <v>870.80399999999997</v>
      </c>
      <c r="R58" s="209">
        <f>R60+R61</f>
        <v>930.88947599999995</v>
      </c>
    </row>
    <row r="59" spans="1:20" ht="65.099999999999994" customHeight="1" x14ac:dyDescent="0.2">
      <c r="A59" s="147" t="s">
        <v>65</v>
      </c>
      <c r="B59" s="166" t="s">
        <v>620</v>
      </c>
      <c r="C59" s="149" t="s">
        <v>543</v>
      </c>
      <c r="D59" s="150">
        <v>228.1</v>
      </c>
      <c r="E59" s="150">
        <v>114.1</v>
      </c>
      <c r="F59" s="150">
        <v>228.1</v>
      </c>
      <c r="G59" s="150">
        <f t="shared" ref="G59:L59" si="28">G60+G61</f>
        <v>662.2</v>
      </c>
      <c r="H59" s="150">
        <f t="shared" si="28"/>
        <v>485.4</v>
      </c>
      <c r="I59" s="150">
        <f t="shared" si="28"/>
        <v>662.2</v>
      </c>
      <c r="J59" s="151">
        <f>J60+J61</f>
        <v>806.3</v>
      </c>
      <c r="K59" s="214">
        <f t="shared" si="28"/>
        <v>740.1</v>
      </c>
      <c r="L59" s="215">
        <f t="shared" si="28"/>
        <v>780.8</v>
      </c>
      <c r="M59" s="154">
        <f>J59/4</f>
        <v>201.57499999999999</v>
      </c>
      <c r="N59" s="154">
        <f>J59/4</f>
        <v>201.57499999999999</v>
      </c>
      <c r="O59" s="154">
        <f>J59/4</f>
        <v>201.57499999999999</v>
      </c>
      <c r="P59" s="154">
        <f>J59/4</f>
        <v>201.57499999999999</v>
      </c>
      <c r="Q59" s="209">
        <f>Q60</f>
        <v>863.35199999999998</v>
      </c>
      <c r="R59" s="209">
        <f>R60</f>
        <v>922.92328799999996</v>
      </c>
    </row>
    <row r="60" spans="1:20" ht="68.25" customHeight="1" x14ac:dyDescent="0.2">
      <c r="A60" s="147" t="s">
        <v>168</v>
      </c>
      <c r="B60" s="148" t="s">
        <v>627</v>
      </c>
      <c r="C60" s="216" t="s">
        <v>289</v>
      </c>
      <c r="D60" s="150">
        <v>228.1</v>
      </c>
      <c r="E60" s="150">
        <v>114.1</v>
      </c>
      <c r="F60" s="150">
        <v>228.1</v>
      </c>
      <c r="G60" s="150">
        <v>657.2</v>
      </c>
      <c r="H60" s="150">
        <v>485.4</v>
      </c>
      <c r="I60" s="150">
        <v>657.2</v>
      </c>
      <c r="J60" s="151">
        <v>799.4</v>
      </c>
      <c r="K60" s="192">
        <v>740.1</v>
      </c>
      <c r="L60" s="193">
        <v>780.8</v>
      </c>
      <c r="M60" s="154">
        <f>J60/4</f>
        <v>199.85</v>
      </c>
      <c r="N60" s="154">
        <f>J60/4</f>
        <v>199.85</v>
      </c>
      <c r="O60" s="154">
        <f>J60/4</f>
        <v>199.85</v>
      </c>
      <c r="P60" s="154">
        <f>J60/4</f>
        <v>199.85</v>
      </c>
      <c r="Q60" s="151">
        <f>J60*108%</f>
        <v>863.35199999999998</v>
      </c>
      <c r="R60" s="151">
        <f>Q60*106.9%</f>
        <v>922.92328799999996</v>
      </c>
    </row>
    <row r="61" spans="1:20" ht="93" customHeight="1" thickBot="1" x14ac:dyDescent="0.25">
      <c r="A61" s="147" t="s">
        <v>532</v>
      </c>
      <c r="B61" s="148" t="s">
        <v>626</v>
      </c>
      <c r="C61" s="216" t="s">
        <v>291</v>
      </c>
      <c r="D61" s="150">
        <v>228.1</v>
      </c>
      <c r="E61" s="150">
        <v>114.1</v>
      </c>
      <c r="F61" s="150">
        <v>228.1</v>
      </c>
      <c r="G61" s="150">
        <v>5</v>
      </c>
      <c r="H61" s="150"/>
      <c r="I61" s="150">
        <v>5</v>
      </c>
      <c r="J61" s="151">
        <v>6.9</v>
      </c>
      <c r="K61" s="217"/>
      <c r="L61" s="218"/>
      <c r="M61" s="154">
        <f>J61/4</f>
        <v>1.7250000000000001</v>
      </c>
      <c r="N61" s="154">
        <f>J61/4</f>
        <v>1.7250000000000001</v>
      </c>
      <c r="O61" s="154">
        <f>J61/4</f>
        <v>1.7250000000000001</v>
      </c>
      <c r="P61" s="154">
        <f>J61/4</f>
        <v>1.7250000000000001</v>
      </c>
      <c r="Q61" s="151">
        <f>J61*108%</f>
        <v>7.4520000000000008</v>
      </c>
      <c r="R61" s="151">
        <f>Q61*106.9%</f>
        <v>7.9661880000000007</v>
      </c>
    </row>
    <row r="62" spans="1:20" ht="52.5" customHeight="1" thickBot="1" x14ac:dyDescent="0.25">
      <c r="A62" s="147" t="s">
        <v>533</v>
      </c>
      <c r="B62" s="148" t="s">
        <v>622</v>
      </c>
      <c r="C62" s="216" t="s">
        <v>292</v>
      </c>
      <c r="D62" s="151" t="e">
        <f>D9+D43</f>
        <v>#REF!</v>
      </c>
      <c r="E62" s="151" t="e">
        <f>E9+E43</f>
        <v>#REF!</v>
      </c>
      <c r="F62" s="151" t="e">
        <f>F9+F43</f>
        <v>#REF!</v>
      </c>
      <c r="G62" s="150">
        <f t="shared" ref="G62:P62" si="29">G63+G64</f>
        <v>885.9</v>
      </c>
      <c r="H62" s="150">
        <f t="shared" si="29"/>
        <v>329.9</v>
      </c>
      <c r="I62" s="150">
        <f t="shared" si="29"/>
        <v>387</v>
      </c>
      <c r="J62" s="151">
        <f t="shared" si="29"/>
        <v>997.8</v>
      </c>
      <c r="K62" s="219">
        <f t="shared" si="29"/>
        <v>1734.1</v>
      </c>
      <c r="L62" s="220">
        <f t="shared" si="29"/>
        <v>1835.1999999999998</v>
      </c>
      <c r="M62" s="154">
        <f t="shared" si="29"/>
        <v>249.45</v>
      </c>
      <c r="N62" s="154">
        <f t="shared" si="29"/>
        <v>249.45</v>
      </c>
      <c r="O62" s="154">
        <f t="shared" si="29"/>
        <v>249.45</v>
      </c>
      <c r="P62" s="154">
        <f t="shared" si="29"/>
        <v>249.45</v>
      </c>
      <c r="Q62" s="151">
        <f>Q63+Q64</f>
        <v>1077.624</v>
      </c>
      <c r="R62" s="151">
        <f>R63+R64</f>
        <v>1151.9800559999999</v>
      </c>
    </row>
    <row r="63" spans="1:20" ht="45" customHeight="1" thickBot="1" x14ac:dyDescent="0.25">
      <c r="A63" s="147" t="s">
        <v>534</v>
      </c>
      <c r="B63" s="148" t="s">
        <v>621</v>
      </c>
      <c r="C63" s="149" t="s">
        <v>293</v>
      </c>
      <c r="D63" s="184" t="e">
        <f>D62-#REF!</f>
        <v>#REF!</v>
      </c>
      <c r="E63" s="184" t="e">
        <f>E62-#REF!</f>
        <v>#REF!</v>
      </c>
      <c r="F63" s="184" t="e">
        <f>F62-#REF!</f>
        <v>#REF!</v>
      </c>
      <c r="G63" s="150">
        <v>602.4</v>
      </c>
      <c r="H63" s="150">
        <v>258</v>
      </c>
      <c r="I63" s="150">
        <f>H63/8*12</f>
        <v>387</v>
      </c>
      <c r="J63" s="151">
        <v>997.8</v>
      </c>
      <c r="K63" s="225">
        <v>1155.3</v>
      </c>
      <c r="L63" s="193">
        <v>1218.8</v>
      </c>
      <c r="M63" s="154">
        <f>J63/4</f>
        <v>249.45</v>
      </c>
      <c r="N63" s="154">
        <f>J63/4</f>
        <v>249.45</v>
      </c>
      <c r="O63" s="154">
        <f>J63/4</f>
        <v>249.45</v>
      </c>
      <c r="P63" s="154">
        <f>J63/4</f>
        <v>249.45</v>
      </c>
      <c r="Q63" s="151">
        <f>J63*108%</f>
        <v>1077.624</v>
      </c>
      <c r="R63" s="151">
        <f>Q63*106.9%</f>
        <v>1151.9800559999999</v>
      </c>
    </row>
    <row r="64" spans="1:20" ht="46.5" hidden="1" customHeight="1" thickBot="1" x14ac:dyDescent="0.25">
      <c r="A64" s="147" t="s">
        <v>329</v>
      </c>
      <c r="B64" s="148" t="s">
        <v>247</v>
      </c>
      <c r="C64" s="149" t="s">
        <v>294</v>
      </c>
      <c r="D64" s="157"/>
      <c r="E64" s="226"/>
      <c r="F64" s="226"/>
      <c r="G64" s="150">
        <v>283.5</v>
      </c>
      <c r="H64" s="150">
        <v>71.900000000000006</v>
      </c>
      <c r="I64" s="150"/>
      <c r="J64" s="151">
        <v>0</v>
      </c>
      <c r="K64" s="225">
        <v>578.79999999999995</v>
      </c>
      <c r="L64" s="193">
        <v>616.4</v>
      </c>
      <c r="M64" s="154">
        <f>J64/4</f>
        <v>0</v>
      </c>
      <c r="N64" s="154">
        <f>J64/4</f>
        <v>0</v>
      </c>
      <c r="O64" s="154">
        <f>J64/4</f>
        <v>0</v>
      </c>
      <c r="P64" s="154">
        <f>J64/4</f>
        <v>0</v>
      </c>
      <c r="Q64" s="151">
        <v>0</v>
      </c>
      <c r="R64" s="151">
        <v>0</v>
      </c>
    </row>
    <row r="65" spans="1:18" ht="19.5" thickBot="1" x14ac:dyDescent="0.25">
      <c r="A65" s="126"/>
      <c r="B65" s="227"/>
      <c r="C65" s="228" t="s">
        <v>9</v>
      </c>
      <c r="D65" s="221" t="e">
        <f>D62-D43</f>
        <v>#REF!</v>
      </c>
      <c r="E65" s="221" t="e">
        <f>E62-E43</f>
        <v>#REF!</v>
      </c>
      <c r="F65" s="221" t="e">
        <f>F62-F43</f>
        <v>#REF!</v>
      </c>
      <c r="G65" s="221" t="e">
        <f t="shared" ref="G65:R65" si="30">G9+G49</f>
        <v>#REF!</v>
      </c>
      <c r="H65" s="221" t="e">
        <f t="shared" si="30"/>
        <v>#REF!</v>
      </c>
      <c r="I65" s="221" t="e">
        <f t="shared" si="30"/>
        <v>#REF!</v>
      </c>
      <c r="J65" s="221">
        <f t="shared" si="30"/>
        <v>104357.20000000001</v>
      </c>
      <c r="K65" s="229" t="e">
        <f t="shared" si="30"/>
        <v>#REF!</v>
      </c>
      <c r="L65" s="230" t="e">
        <f t="shared" si="30"/>
        <v>#REF!</v>
      </c>
      <c r="M65" s="158" t="e">
        <f t="shared" si="30"/>
        <v>#REF!</v>
      </c>
      <c r="N65" s="158" t="e">
        <f t="shared" si="30"/>
        <v>#REF!</v>
      </c>
      <c r="O65" s="158" t="e">
        <f t="shared" si="30"/>
        <v>#REF!</v>
      </c>
      <c r="P65" s="158" t="e">
        <f t="shared" si="30"/>
        <v>#REF!</v>
      </c>
      <c r="Q65" s="221" t="e">
        <f t="shared" si="30"/>
        <v>#REF!</v>
      </c>
      <c r="R65" s="221" t="e">
        <f t="shared" si="30"/>
        <v>#REF!</v>
      </c>
    </row>
    <row r="66" spans="1:18" ht="18.75" hidden="1" x14ac:dyDescent="0.2">
      <c r="A66" s="110"/>
      <c r="B66" s="109"/>
      <c r="C66" s="107" t="s">
        <v>12</v>
      </c>
      <c r="G66" s="111" t="e">
        <f>#REF!</f>
        <v>#REF!</v>
      </c>
      <c r="H66" s="111" t="e">
        <f>#REF!</f>
        <v>#REF!</v>
      </c>
      <c r="I66" s="111" t="e">
        <f>#REF!</f>
        <v>#REF!</v>
      </c>
      <c r="J66" s="111" t="e">
        <f>#REF!</f>
        <v>#REF!</v>
      </c>
      <c r="K66" s="111" t="e">
        <f>#REF!</f>
        <v>#REF!</v>
      </c>
      <c r="L66" s="111" t="e">
        <f>#REF!</f>
        <v>#REF!</v>
      </c>
    </row>
    <row r="67" spans="1:18" ht="18.75" hidden="1" x14ac:dyDescent="0.2">
      <c r="A67" s="110"/>
      <c r="B67" s="109"/>
      <c r="C67" s="105" t="s">
        <v>13</v>
      </c>
      <c r="G67" s="106" t="e">
        <f t="shared" ref="G67:L67" si="31">G65-G66</f>
        <v>#REF!</v>
      </c>
      <c r="H67" s="106" t="e">
        <f t="shared" si="31"/>
        <v>#REF!</v>
      </c>
      <c r="I67" s="106" t="e">
        <f t="shared" si="31"/>
        <v>#REF!</v>
      </c>
      <c r="J67" s="106" t="e">
        <f>J65-J66</f>
        <v>#REF!</v>
      </c>
      <c r="K67" s="106" t="e">
        <f t="shared" si="31"/>
        <v>#REF!</v>
      </c>
      <c r="L67" s="106" t="e">
        <f t="shared" si="31"/>
        <v>#REF!</v>
      </c>
    </row>
    <row r="68" spans="1:18" hidden="1" x14ac:dyDescent="0.2">
      <c r="A68" s="112"/>
    </row>
    <row r="69" spans="1:18" ht="19.5" hidden="1" thickBot="1" x14ac:dyDescent="0.25">
      <c r="A69" s="113"/>
      <c r="B69" s="114" t="s">
        <v>213</v>
      </c>
      <c r="C69" s="114"/>
      <c r="G69" s="104" t="e">
        <f t="shared" ref="G69:L69" si="32">G65-G49</f>
        <v>#REF!</v>
      </c>
      <c r="H69" s="104" t="e">
        <f t="shared" si="32"/>
        <v>#REF!</v>
      </c>
      <c r="I69" s="104" t="e">
        <f t="shared" si="32"/>
        <v>#REF!</v>
      </c>
      <c r="J69" s="104">
        <f t="shared" si="32"/>
        <v>36779.800000000003</v>
      </c>
      <c r="K69" s="104" t="e">
        <f t="shared" si="32"/>
        <v>#REF!</v>
      </c>
      <c r="L69" s="104" t="e">
        <f t="shared" si="32"/>
        <v>#REF!</v>
      </c>
    </row>
    <row r="70" spans="1:18" hidden="1" x14ac:dyDescent="0.2"/>
    <row r="71" spans="1:18" hidden="1" x14ac:dyDescent="0.2"/>
    <row r="72" spans="1:18" hidden="1" x14ac:dyDescent="0.2">
      <c r="J72" s="2">
        <f>J65-J57</f>
        <v>102553.1</v>
      </c>
    </row>
    <row r="73" spans="1:18" hidden="1" x14ac:dyDescent="0.2">
      <c r="J73" s="2">
        <f>J72*0.31</f>
        <v>31791.461000000003</v>
      </c>
    </row>
    <row r="74" spans="1:18" hidden="1" x14ac:dyDescent="0.2"/>
    <row r="75" spans="1:18" hidden="1" x14ac:dyDescent="0.2"/>
    <row r="77" spans="1:18" x14ac:dyDescent="0.2">
      <c r="P77" s="119"/>
    </row>
  </sheetData>
  <mergeCells count="6">
    <mergeCell ref="C1:P1"/>
    <mergeCell ref="C3:P3"/>
    <mergeCell ref="A5:P5"/>
    <mergeCell ref="A6:P6"/>
    <mergeCell ref="O7:P7"/>
    <mergeCell ref="C4:R4"/>
  </mergeCells>
  <pageMargins left="0.59055118110236227" right="0.39370078740157483" top="0.39370078740157483" bottom="0.39370078740157483" header="0" footer="0"/>
  <pageSetup paperSize="9" scale="81" fitToHeight="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topLeftCell="A19" workbookViewId="0">
      <selection activeCell="J29" sqref="J29"/>
    </sheetView>
  </sheetViews>
  <sheetFormatPr defaultRowHeight="12.75" x14ac:dyDescent="0.2"/>
  <cols>
    <col min="1" max="1" width="48.85546875" style="8" customWidth="1"/>
    <col min="2" max="2" width="16.5703125" style="9" customWidth="1"/>
    <col min="3" max="3" width="0.140625" style="9" hidden="1" customWidth="1"/>
    <col min="4" max="4" width="8.140625" style="10" hidden="1" customWidth="1"/>
    <col min="5" max="5" width="8" style="115" hidden="1" customWidth="1"/>
    <col min="6" max="6" width="5.140625" style="115" hidden="1" customWidth="1"/>
    <col min="7" max="7" width="11.7109375" style="115" hidden="1" customWidth="1"/>
    <col min="8" max="8" width="11" style="115" hidden="1" customWidth="1"/>
    <col min="9" max="9" width="12.5703125" style="115" hidden="1" customWidth="1"/>
    <col min="10" max="10" width="17" style="115" customWidth="1"/>
    <col min="11" max="14" width="0" style="115" hidden="1" customWidth="1"/>
    <col min="15" max="16384" width="9.140625" style="115"/>
  </cols>
  <sheetData>
    <row r="1" spans="1:23" ht="15.75" x14ac:dyDescent="0.2">
      <c r="A1" s="310"/>
      <c r="B1" s="425"/>
      <c r="C1" s="232"/>
      <c r="D1" s="233"/>
      <c r="E1" s="117"/>
      <c r="F1" s="117"/>
      <c r="G1" s="117"/>
      <c r="H1" s="117"/>
      <c r="I1" s="117"/>
      <c r="J1" s="234" t="s">
        <v>181</v>
      </c>
    </row>
    <row r="2" spans="1:23" ht="15.75" x14ac:dyDescent="0.2">
      <c r="A2" s="117"/>
      <c r="B2" s="117"/>
      <c r="C2" s="117"/>
      <c r="D2" s="117"/>
      <c r="E2" s="117"/>
      <c r="F2" s="117"/>
      <c r="G2" s="117"/>
      <c r="H2" s="123"/>
      <c r="I2" s="123"/>
      <c r="J2" s="461" t="s">
        <v>610</v>
      </c>
      <c r="K2" s="460"/>
      <c r="L2" s="460"/>
      <c r="M2" s="460"/>
      <c r="N2" s="460"/>
      <c r="O2" s="460"/>
      <c r="P2" s="460"/>
      <c r="R2" s="460"/>
      <c r="S2" s="460"/>
      <c r="T2" s="460"/>
      <c r="U2" s="460"/>
      <c r="V2" s="460"/>
      <c r="W2" s="460"/>
    </row>
    <row r="3" spans="1:23" x14ac:dyDescent="0.2">
      <c r="A3" s="117"/>
      <c r="B3" s="117"/>
      <c r="C3" s="117"/>
      <c r="D3" s="117"/>
      <c r="E3" s="117"/>
      <c r="F3" s="117"/>
      <c r="G3" s="117"/>
      <c r="H3" s="117"/>
      <c r="I3" s="117"/>
      <c r="J3" s="486" t="s">
        <v>631</v>
      </c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</row>
    <row r="4" spans="1:23" x14ac:dyDescent="0.2">
      <c r="A4" s="117"/>
      <c r="B4" s="533"/>
      <c r="C4" s="533"/>
      <c r="D4" s="533"/>
      <c r="E4" s="533"/>
      <c r="F4" s="533"/>
      <c r="G4" s="533"/>
      <c r="H4" s="533"/>
      <c r="I4" s="533"/>
      <c r="J4" s="533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</row>
    <row r="5" spans="1:23" x14ac:dyDescent="0.2">
      <c r="A5" s="534" t="s">
        <v>650</v>
      </c>
      <c r="B5" s="534"/>
      <c r="C5" s="534"/>
      <c r="D5" s="534"/>
      <c r="E5" s="534"/>
      <c r="F5" s="534"/>
      <c r="G5" s="534"/>
      <c r="H5" s="534"/>
      <c r="I5" s="534"/>
      <c r="J5" s="534"/>
    </row>
    <row r="6" spans="1:23" ht="27" customHeight="1" x14ac:dyDescent="0.2">
      <c r="A6" s="534"/>
      <c r="B6" s="534"/>
      <c r="C6" s="534"/>
      <c r="D6" s="534"/>
      <c r="E6" s="534"/>
      <c r="F6" s="534"/>
      <c r="G6" s="534"/>
      <c r="H6" s="534"/>
      <c r="I6" s="534"/>
      <c r="J6" s="534"/>
    </row>
    <row r="7" spans="1:23" x14ac:dyDescent="0.2">
      <c r="A7" s="238"/>
      <c r="B7" s="237"/>
      <c r="C7" s="239"/>
      <c r="D7" s="240"/>
      <c r="E7" s="117"/>
      <c r="F7" s="117"/>
      <c r="G7" s="117"/>
      <c r="H7" s="117"/>
      <c r="I7" s="117"/>
      <c r="J7" s="117"/>
    </row>
    <row r="8" spans="1:23" ht="56.25" customHeight="1" x14ac:dyDescent="0.2">
      <c r="A8" s="426" t="s">
        <v>25</v>
      </c>
      <c r="B8" s="427" t="s">
        <v>26</v>
      </c>
      <c r="C8" s="441" t="s">
        <v>28</v>
      </c>
      <c r="D8" s="442" t="s">
        <v>215</v>
      </c>
      <c r="E8" s="443" t="s">
        <v>216</v>
      </c>
      <c r="F8" s="443" t="s">
        <v>212</v>
      </c>
      <c r="G8" s="442" t="s">
        <v>248</v>
      </c>
      <c r="H8" s="443" t="s">
        <v>305</v>
      </c>
      <c r="I8" s="443" t="s">
        <v>249</v>
      </c>
      <c r="J8" s="428" t="s">
        <v>600</v>
      </c>
    </row>
    <row r="9" spans="1:23" ht="20.25" customHeight="1" x14ac:dyDescent="0.2">
      <c r="A9" s="351" t="s">
        <v>74</v>
      </c>
      <c r="B9" s="431" t="s">
        <v>14</v>
      </c>
      <c r="C9" s="431"/>
      <c r="D9" s="432" t="e">
        <f>#REF!+D11+#REF!</f>
        <v>#REF!</v>
      </c>
      <c r="E9" s="432" t="e">
        <f>#REF!+E11</f>
        <v>#REF!</v>
      </c>
      <c r="F9" s="432" t="e">
        <f>#REF!+F11</f>
        <v>#REF!</v>
      </c>
      <c r="G9" s="432" t="e">
        <f>#REF!+#REF!+#REF!</f>
        <v>#REF!</v>
      </c>
      <c r="H9" s="432" t="e">
        <f>#REF!+#REF!+#REF!</f>
        <v>#REF!</v>
      </c>
      <c r="I9" s="432" t="e">
        <f>#REF!+#REF!+#REF!</f>
        <v>#REF!</v>
      </c>
      <c r="J9" s="433">
        <f>SUM(J10:J14)</f>
        <v>15976.1</v>
      </c>
    </row>
    <row r="10" spans="1:23" ht="36" customHeight="1" x14ac:dyDescent="0.2">
      <c r="A10" s="248" t="s">
        <v>320</v>
      </c>
      <c r="B10" s="434" t="s">
        <v>43</v>
      </c>
      <c r="C10" s="434"/>
      <c r="D10" s="435"/>
      <c r="E10" s="435"/>
      <c r="F10" s="435"/>
      <c r="G10" s="435"/>
      <c r="H10" s="435"/>
      <c r="I10" s="435"/>
      <c r="J10" s="436">
        <f>'Вед. 2017 (прил 4)'!N11</f>
        <v>1080.0999999999999</v>
      </c>
    </row>
    <row r="11" spans="1:23" ht="39.75" customHeight="1" x14ac:dyDescent="0.2">
      <c r="A11" s="248" t="s">
        <v>210</v>
      </c>
      <c r="B11" s="434" t="s">
        <v>29</v>
      </c>
      <c r="C11" s="434"/>
      <c r="D11" s="435" t="e">
        <f>#REF!</f>
        <v>#REF!</v>
      </c>
      <c r="E11" s="435" t="e">
        <f>#REF!</f>
        <v>#REF!</v>
      </c>
      <c r="F11" s="435" t="e">
        <f>#REF!</f>
        <v>#REF!</v>
      </c>
      <c r="G11" s="435" t="e">
        <f>#REF!+#REF!</f>
        <v>#REF!</v>
      </c>
      <c r="H11" s="435" t="e">
        <f>#REF!+#REF!</f>
        <v>#REF!</v>
      </c>
      <c r="I11" s="435" t="e">
        <f>#REF!+#REF!</f>
        <v>#REF!</v>
      </c>
      <c r="J11" s="436">
        <f>'Вед. 2017 (прил 4)'!N15</f>
        <v>2242.9</v>
      </c>
      <c r="R11" s="451"/>
    </row>
    <row r="12" spans="1:23" ht="44.25" customHeight="1" x14ac:dyDescent="0.2">
      <c r="A12" s="248" t="s">
        <v>255</v>
      </c>
      <c r="B12" s="434" t="s">
        <v>46</v>
      </c>
      <c r="C12" s="434"/>
      <c r="D12" s="435" t="e">
        <f>#REF!</f>
        <v>#REF!</v>
      </c>
      <c r="E12" s="435" t="e">
        <f>#REF!</f>
        <v>#REF!</v>
      </c>
      <c r="F12" s="435" t="e">
        <f>#REF!</f>
        <v>#REF!</v>
      </c>
      <c r="G12" s="435" t="e">
        <f>#REF!+#REF!+#REF!</f>
        <v>#REF!</v>
      </c>
      <c r="H12" s="435" t="e">
        <f>#REF!+#REF!+#REF!</f>
        <v>#REF!</v>
      </c>
      <c r="I12" s="435" t="e">
        <f>#REF!+#REF!+#REF!</f>
        <v>#REF!</v>
      </c>
      <c r="J12" s="436">
        <f>'Вед. 2017 (прил 4)'!N36</f>
        <v>9978</v>
      </c>
      <c r="L12" s="320" t="e">
        <f>J12+J10+J11-#REF!-#REF!</f>
        <v>#REF!</v>
      </c>
    </row>
    <row r="13" spans="1:23" ht="20.25" customHeight="1" x14ac:dyDescent="0.2">
      <c r="A13" s="300" t="s">
        <v>313</v>
      </c>
      <c r="B13" s="434" t="s">
        <v>182</v>
      </c>
      <c r="C13" s="434"/>
      <c r="D13" s="435" t="e">
        <f>#REF!</f>
        <v>#REF!</v>
      </c>
      <c r="E13" s="435" t="e">
        <f>#REF!</f>
        <v>#REF!</v>
      </c>
      <c r="F13" s="435" t="e">
        <f>#REF!</f>
        <v>#REF!</v>
      </c>
      <c r="G13" s="437" t="e">
        <f>#REF!</f>
        <v>#REF!</v>
      </c>
      <c r="H13" s="437" t="e">
        <f>#REF!</f>
        <v>#REF!</v>
      </c>
      <c r="I13" s="437" t="e">
        <f>#REF!</f>
        <v>#REF!</v>
      </c>
      <c r="J13" s="436">
        <f>'Вед. 2017 (прил 4)'!N57</f>
        <v>20</v>
      </c>
    </row>
    <row r="14" spans="1:23" ht="17.25" customHeight="1" x14ac:dyDescent="0.2">
      <c r="A14" s="300" t="s">
        <v>30</v>
      </c>
      <c r="B14" s="434" t="s">
        <v>183</v>
      </c>
      <c r="C14" s="434"/>
      <c r="D14" s="435">
        <v>100</v>
      </c>
      <c r="E14" s="435"/>
      <c r="F14" s="435">
        <v>100</v>
      </c>
      <c r="G14" s="437" t="e">
        <f>#REF!+#REF!+#REF!+#REF!+#REF!+#REF!</f>
        <v>#REF!</v>
      </c>
      <c r="H14" s="437" t="e">
        <f>#REF!+#REF!+#REF!+#REF!+#REF!+#REF!</f>
        <v>#REF!</v>
      </c>
      <c r="I14" s="437" t="e">
        <f>#REF!+#REF!+#REF!+#REF!+#REF!+#REF!</f>
        <v>#REF!</v>
      </c>
      <c r="J14" s="436">
        <f>'Вед. 2017 (прил 4)'!N61</f>
        <v>2655.1</v>
      </c>
    </row>
    <row r="15" spans="1:23" ht="28.5" customHeight="1" x14ac:dyDescent="0.2">
      <c r="A15" s="351" t="s">
        <v>37</v>
      </c>
      <c r="B15" s="431" t="s">
        <v>31</v>
      </c>
      <c r="C15" s="431"/>
      <c r="D15" s="432" t="e">
        <f>D16+#REF!+#REF!+#REF!</f>
        <v>#REF!</v>
      </c>
      <c r="E15" s="432" t="e">
        <f>E16+#REF!+#REF!+#REF!</f>
        <v>#REF!</v>
      </c>
      <c r="F15" s="432" t="e">
        <f>F16+#REF!+#REF!+#REF!</f>
        <v>#REF!</v>
      </c>
      <c r="G15" s="432" t="e">
        <f>G16</f>
        <v>#REF!</v>
      </c>
      <c r="H15" s="432" t="e">
        <f>H16</f>
        <v>#REF!</v>
      </c>
      <c r="I15" s="432" t="e">
        <f>I16</f>
        <v>#REF!</v>
      </c>
      <c r="J15" s="433">
        <f>J16</f>
        <v>182</v>
      </c>
    </row>
    <row r="16" spans="1:23" ht="30.75" customHeight="1" x14ac:dyDescent="0.2">
      <c r="A16" s="300" t="s">
        <v>180</v>
      </c>
      <c r="B16" s="434" t="s">
        <v>21</v>
      </c>
      <c r="C16" s="434"/>
      <c r="D16" s="435" t="e">
        <f>#REF!</f>
        <v>#REF!</v>
      </c>
      <c r="E16" s="435" t="e">
        <f>#REF!</f>
        <v>#REF!</v>
      </c>
      <c r="F16" s="435" t="e">
        <f>#REF!</f>
        <v>#REF!</v>
      </c>
      <c r="G16" s="435" t="e">
        <f>#REF!+#REF!</f>
        <v>#REF!</v>
      </c>
      <c r="H16" s="435" t="e">
        <f>#REF!+#REF!</f>
        <v>#REF!</v>
      </c>
      <c r="I16" s="435" t="e">
        <f>#REF!+#REF!</f>
        <v>#REF!</v>
      </c>
      <c r="J16" s="436">
        <f>'Вед. 2017 (прил 4)'!N93</f>
        <v>182</v>
      </c>
    </row>
    <row r="17" spans="1:10" ht="21" customHeight="1" x14ac:dyDescent="0.2">
      <c r="A17" s="396" t="s">
        <v>321</v>
      </c>
      <c r="B17" s="431" t="s">
        <v>322</v>
      </c>
      <c r="C17" s="431"/>
      <c r="D17" s="432"/>
      <c r="E17" s="432"/>
      <c r="F17" s="432"/>
      <c r="G17" s="432"/>
      <c r="H17" s="432"/>
      <c r="I17" s="432"/>
      <c r="J17" s="433">
        <f>SUM(J18:J20)</f>
        <v>49123.500000000007</v>
      </c>
    </row>
    <row r="18" spans="1:10" ht="15.75" customHeight="1" x14ac:dyDescent="0.2">
      <c r="A18" s="248" t="s">
        <v>441</v>
      </c>
      <c r="B18" s="434" t="s">
        <v>438</v>
      </c>
      <c r="C18" s="434"/>
      <c r="D18" s="435">
        <f>[2]роспись!H63</f>
        <v>5320</v>
      </c>
      <c r="E18" s="435">
        <v>480</v>
      </c>
      <c r="F18" s="435">
        <v>668</v>
      </c>
      <c r="G18" s="435" t="e">
        <f>#REF!</f>
        <v>#REF!</v>
      </c>
      <c r="H18" s="435" t="e">
        <f>#REF!</f>
        <v>#REF!</v>
      </c>
      <c r="I18" s="435" t="e">
        <f>#REF!</f>
        <v>#REF!</v>
      </c>
      <c r="J18" s="436">
        <f>'Вед. 2017 (прил 4)'!N104</f>
        <v>163.80000000000001</v>
      </c>
    </row>
    <row r="19" spans="1:10" ht="21" customHeight="1" x14ac:dyDescent="0.2">
      <c r="A19" s="248" t="s">
        <v>224</v>
      </c>
      <c r="B19" s="434" t="s">
        <v>223</v>
      </c>
      <c r="C19" s="434"/>
      <c r="D19" s="435">
        <f>[2]роспись!H68</f>
        <v>668</v>
      </c>
      <c r="E19" s="435">
        <v>480</v>
      </c>
      <c r="F19" s="435">
        <v>668</v>
      </c>
      <c r="G19" s="435" t="e">
        <f>#REF!</f>
        <v>#REF!</v>
      </c>
      <c r="H19" s="435" t="e">
        <f>#REF!</f>
        <v>#REF!</v>
      </c>
      <c r="I19" s="435" t="e">
        <f>#REF!</f>
        <v>#REF!</v>
      </c>
      <c r="J19" s="436">
        <f>'Вед. 2017 (прил 4)'!N108</f>
        <v>48899.3</v>
      </c>
    </row>
    <row r="20" spans="1:10" ht="21" customHeight="1" x14ac:dyDescent="0.2">
      <c r="A20" s="248" t="s">
        <v>523</v>
      </c>
      <c r="B20" s="434" t="s">
        <v>522</v>
      </c>
      <c r="C20" s="434"/>
      <c r="D20" s="435" t="e">
        <f>[2]роспись!H73</f>
        <v>#REF!</v>
      </c>
      <c r="E20" s="435">
        <v>480</v>
      </c>
      <c r="F20" s="435">
        <v>668</v>
      </c>
      <c r="G20" s="435" t="e">
        <f>#REF!</f>
        <v>#REF!</v>
      </c>
      <c r="H20" s="435" t="e">
        <f>#REF!</f>
        <v>#REF!</v>
      </c>
      <c r="I20" s="435" t="e">
        <f>#REF!</f>
        <v>#REF!</v>
      </c>
      <c r="J20" s="436">
        <f>'Вед. 2017 (прил 4)'!N112</f>
        <v>60.4</v>
      </c>
    </row>
    <row r="21" spans="1:10" x14ac:dyDescent="0.2">
      <c r="A21" s="351" t="s">
        <v>32</v>
      </c>
      <c r="B21" s="431" t="s">
        <v>33</v>
      </c>
      <c r="C21" s="434"/>
      <c r="D21" s="435" t="e">
        <f>#REF!+#REF!+#REF!</f>
        <v>#REF!</v>
      </c>
      <c r="E21" s="435" t="e">
        <f>#REF!+#REF!+#REF!</f>
        <v>#REF!</v>
      </c>
      <c r="F21" s="435" t="e">
        <f>#REF!+#REF!+#REF!</f>
        <v>#REF!</v>
      </c>
      <c r="G21" s="432" t="e">
        <f>#REF!+#REF!+#REF!+#REF!</f>
        <v>#REF!</v>
      </c>
      <c r="H21" s="432" t="e">
        <f>#REF!+#REF!+#REF!+#REF!</f>
        <v>#REF!</v>
      </c>
      <c r="I21" s="432" t="e">
        <f>#REF!+#REF!+#REF!+#REF!</f>
        <v>#REF!</v>
      </c>
      <c r="J21" s="433">
        <f>J22</f>
        <v>33364.199999999997</v>
      </c>
    </row>
    <row r="22" spans="1:10" x14ac:dyDescent="0.2">
      <c r="A22" s="392" t="s">
        <v>330</v>
      </c>
      <c r="B22" s="434" t="s">
        <v>80</v>
      </c>
      <c r="C22" s="434"/>
      <c r="D22" s="435"/>
      <c r="E22" s="435"/>
      <c r="F22" s="435"/>
      <c r="G22" s="435"/>
      <c r="H22" s="435"/>
      <c r="I22" s="435"/>
      <c r="J22" s="436">
        <f>'Вед. 2017 (прил 4)'!N114</f>
        <v>33364.199999999997</v>
      </c>
    </row>
    <row r="23" spans="1:10" x14ac:dyDescent="0.2">
      <c r="A23" s="351" t="s">
        <v>34</v>
      </c>
      <c r="B23" s="431" t="s">
        <v>22</v>
      </c>
      <c r="C23" s="431"/>
      <c r="D23" s="432" t="e">
        <f t="shared" ref="D23:I23" si="0">D25</f>
        <v>#REF!</v>
      </c>
      <c r="E23" s="432" t="e">
        <f t="shared" si="0"/>
        <v>#REF!</v>
      </c>
      <c r="F23" s="432" t="e">
        <f t="shared" si="0"/>
        <v>#REF!</v>
      </c>
      <c r="G23" s="432" t="e">
        <f t="shared" si="0"/>
        <v>#REF!</v>
      </c>
      <c r="H23" s="432" t="e">
        <f t="shared" si="0"/>
        <v>#REF!</v>
      </c>
      <c r="I23" s="432" t="e">
        <f t="shared" si="0"/>
        <v>#REF!</v>
      </c>
      <c r="J23" s="433">
        <f>SUM(J24:J25)</f>
        <v>156.80000000000001</v>
      </c>
    </row>
    <row r="24" spans="1:10" ht="27" customHeight="1" x14ac:dyDescent="0.2">
      <c r="A24" s="300" t="s">
        <v>338</v>
      </c>
      <c r="B24" s="434" t="s">
        <v>337</v>
      </c>
      <c r="C24" s="434"/>
      <c r="D24" s="435" t="e">
        <f>D25</f>
        <v>#REF!</v>
      </c>
      <c r="E24" s="435" t="e">
        <f>E25</f>
        <v>#REF!</v>
      </c>
      <c r="F24" s="435" t="e">
        <f>F25</f>
        <v>#REF!</v>
      </c>
      <c r="G24" s="435" t="e">
        <f>G25+#REF!+#REF!</f>
        <v>#REF!</v>
      </c>
      <c r="H24" s="435" t="e">
        <f>H25+#REF!+#REF!</f>
        <v>#REF!</v>
      </c>
      <c r="I24" s="435" t="e">
        <f>I25+#REF!+#REF!</f>
        <v>#REF!</v>
      </c>
      <c r="J24" s="436">
        <f>'Вед. 2017 (прил 4)'!N156</f>
        <v>61.8</v>
      </c>
    </row>
    <row r="25" spans="1:10" ht="18.75" customHeight="1" x14ac:dyDescent="0.2">
      <c r="A25" s="300" t="s">
        <v>612</v>
      </c>
      <c r="B25" s="434" t="s">
        <v>23</v>
      </c>
      <c r="C25" s="434"/>
      <c r="D25" s="435" t="e">
        <f>#REF!</f>
        <v>#REF!</v>
      </c>
      <c r="E25" s="435" t="e">
        <f>#REF!</f>
        <v>#REF!</v>
      </c>
      <c r="F25" s="435" t="e">
        <f>#REF!</f>
        <v>#REF!</v>
      </c>
      <c r="G25" s="435" t="e">
        <f>#REF!+#REF!+#REF!</f>
        <v>#REF!</v>
      </c>
      <c r="H25" s="435" t="e">
        <f>#REF!+#REF!+#REF!</f>
        <v>#REF!</v>
      </c>
      <c r="I25" s="435" t="e">
        <f>#REF!+#REF!+#REF!</f>
        <v>#REF!</v>
      </c>
      <c r="J25" s="436">
        <f>'Вед. 2017 (прил 4)'!N160</f>
        <v>95</v>
      </c>
    </row>
    <row r="26" spans="1:10" x14ac:dyDescent="0.2">
      <c r="A26" s="351" t="s">
        <v>208</v>
      </c>
      <c r="B26" s="431" t="s">
        <v>24</v>
      </c>
      <c r="C26" s="438"/>
      <c r="D26" s="439"/>
      <c r="E26" s="440"/>
      <c r="F26" s="440"/>
      <c r="G26" s="432" t="e">
        <f>G27</f>
        <v>#REF!</v>
      </c>
      <c r="H26" s="432" t="e">
        <f>H27</f>
        <v>#REF!</v>
      </c>
      <c r="I26" s="432" t="e">
        <f>I27</f>
        <v>#REF!</v>
      </c>
      <c r="J26" s="433">
        <f>SUM(J27:J28)</f>
        <v>5109</v>
      </c>
    </row>
    <row r="27" spans="1:10" x14ac:dyDescent="0.2">
      <c r="A27" s="300" t="s">
        <v>38</v>
      </c>
      <c r="B27" s="434" t="s">
        <v>39</v>
      </c>
      <c r="C27" s="438"/>
      <c r="D27" s="439"/>
      <c r="E27" s="440"/>
      <c r="F27" s="440"/>
      <c r="G27" s="435" t="e">
        <f>#REF!+G28</f>
        <v>#REF!</v>
      </c>
      <c r="H27" s="435" t="e">
        <f>#REF!+H28</f>
        <v>#REF!</v>
      </c>
      <c r="I27" s="435" t="e">
        <f>#REF!+I28</f>
        <v>#REF!</v>
      </c>
      <c r="J27" s="436">
        <f>'Вед. 2017 (прил 4)'!N165</f>
        <v>4050</v>
      </c>
    </row>
    <row r="28" spans="1:10" ht="20.25" customHeight="1" x14ac:dyDescent="0.2">
      <c r="A28" s="304" t="s">
        <v>318</v>
      </c>
      <c r="B28" s="434" t="s">
        <v>273</v>
      </c>
      <c r="C28" s="438"/>
      <c r="D28" s="439"/>
      <c r="E28" s="440"/>
      <c r="F28" s="440"/>
      <c r="G28" s="435" t="e">
        <f>#REF!</f>
        <v>#REF!</v>
      </c>
      <c r="H28" s="435" t="e">
        <f>#REF!</f>
        <v>#REF!</v>
      </c>
      <c r="I28" s="435" t="e">
        <f>#REF!</f>
        <v>#REF!</v>
      </c>
      <c r="J28" s="436">
        <f>'Вед. 2017 (прил 4)'!N169</f>
        <v>1059</v>
      </c>
    </row>
    <row r="29" spans="1:10" x14ac:dyDescent="0.2">
      <c r="A29" s="351" t="s">
        <v>35</v>
      </c>
      <c r="B29" s="431">
        <v>1000</v>
      </c>
      <c r="C29" s="438"/>
      <c r="D29" s="439"/>
      <c r="E29" s="440"/>
      <c r="F29" s="440"/>
      <c r="G29" s="432" t="e">
        <f>G31+G30</f>
        <v>#REF!</v>
      </c>
      <c r="H29" s="432" t="e">
        <f>H31+H30</f>
        <v>#REF!</v>
      </c>
      <c r="I29" s="432" t="e">
        <f>I31+I30</f>
        <v>#REF!</v>
      </c>
      <c r="J29" s="433">
        <f>SUM(J30:J31)</f>
        <v>1548.1999999999998</v>
      </c>
    </row>
    <row r="30" spans="1:10" ht="20.25" customHeight="1" x14ac:dyDescent="0.2">
      <c r="A30" s="248" t="s">
        <v>221</v>
      </c>
      <c r="B30" s="434" t="s">
        <v>220</v>
      </c>
      <c r="C30" s="438"/>
      <c r="D30" s="439"/>
      <c r="E30" s="440"/>
      <c r="F30" s="440"/>
      <c r="G30" s="435" t="e">
        <f>#REF!</f>
        <v>#REF!</v>
      </c>
      <c r="H30" s="435" t="e">
        <f>#REF!</f>
        <v>#REF!</v>
      </c>
      <c r="I30" s="435" t="e">
        <f>#REF!</f>
        <v>#REF!</v>
      </c>
      <c r="J30" s="436">
        <f>'Функц.2017 (прил 3) '!L159</f>
        <v>550.4</v>
      </c>
    </row>
    <row r="31" spans="1:10" ht="19.5" customHeight="1" x14ac:dyDescent="0.2">
      <c r="A31" s="300" t="s">
        <v>171</v>
      </c>
      <c r="B31" s="434" t="s">
        <v>40</v>
      </c>
      <c r="C31" s="438"/>
      <c r="D31" s="439"/>
      <c r="E31" s="440"/>
      <c r="F31" s="440"/>
      <c r="G31" s="435" t="e">
        <f>#REF!+#REF!+#REF!</f>
        <v>#REF!</v>
      </c>
      <c r="H31" s="435" t="e">
        <f>#REF!+#REF!+#REF!</f>
        <v>#REF!</v>
      </c>
      <c r="I31" s="435" t="e">
        <f>#REF!+#REF!+#REF!</f>
        <v>#REF!</v>
      </c>
      <c r="J31" s="436">
        <f>'Вед. 2017 (прил 4)'!N180</f>
        <v>997.8</v>
      </c>
    </row>
    <row r="32" spans="1:10" x14ac:dyDescent="0.2">
      <c r="A32" s="351" t="s">
        <v>170</v>
      </c>
      <c r="B32" s="431" t="s">
        <v>185</v>
      </c>
      <c r="C32" s="438"/>
      <c r="D32" s="439"/>
      <c r="E32" s="440"/>
      <c r="F32" s="440"/>
      <c r="G32" s="432" t="e">
        <f>G33</f>
        <v>#REF!</v>
      </c>
      <c r="H32" s="432" t="e">
        <f>H33</f>
        <v>#REF!</v>
      </c>
      <c r="I32" s="432" t="e">
        <f>I33</f>
        <v>#REF!</v>
      </c>
      <c r="J32" s="433">
        <f>J33</f>
        <v>327</v>
      </c>
    </row>
    <row r="33" spans="1:15" x14ac:dyDescent="0.2">
      <c r="A33" s="300" t="s">
        <v>186</v>
      </c>
      <c r="B33" s="434" t="s">
        <v>184</v>
      </c>
      <c r="C33" s="438"/>
      <c r="D33" s="439"/>
      <c r="E33" s="440"/>
      <c r="F33" s="440"/>
      <c r="G33" s="435" t="e">
        <f>#REF!</f>
        <v>#REF!</v>
      </c>
      <c r="H33" s="435" t="e">
        <f>#REF!</f>
        <v>#REF!</v>
      </c>
      <c r="I33" s="435" t="e">
        <f>#REF!</f>
        <v>#REF!</v>
      </c>
      <c r="J33" s="436">
        <f>'Вед. 2017 (прил 4)'!N185</f>
        <v>327</v>
      </c>
    </row>
    <row r="34" spans="1:15" x14ac:dyDescent="0.2">
      <c r="A34" s="351" t="s">
        <v>187</v>
      </c>
      <c r="B34" s="431" t="s">
        <v>188</v>
      </c>
      <c r="C34" s="438"/>
      <c r="D34" s="439"/>
      <c r="E34" s="440"/>
      <c r="F34" s="440"/>
      <c r="G34" s="432" t="e">
        <f>G35</f>
        <v>#REF!</v>
      </c>
      <c r="H34" s="432" t="e">
        <f>H35</f>
        <v>#REF!</v>
      </c>
      <c r="I34" s="432" t="e">
        <f>I35</f>
        <v>#REF!</v>
      </c>
      <c r="J34" s="433">
        <v>577.20000000000005</v>
      </c>
    </row>
    <row r="35" spans="1:15" ht="13.5" thickBot="1" x14ac:dyDescent="0.25">
      <c r="A35" s="300" t="s">
        <v>190</v>
      </c>
      <c r="B35" s="434" t="s">
        <v>189</v>
      </c>
      <c r="C35" s="438"/>
      <c r="D35" s="439"/>
      <c r="E35" s="440"/>
      <c r="F35" s="440"/>
      <c r="G35" s="435" t="e">
        <f>#REF!+#REF!</f>
        <v>#REF!</v>
      </c>
      <c r="H35" s="435" t="e">
        <f>#REF!+#REF!</f>
        <v>#REF!</v>
      </c>
      <c r="I35" s="435" t="e">
        <f>#REF!+#REF!</f>
        <v>#REF!</v>
      </c>
      <c r="J35" s="436">
        <f>'Вед. 2017 (прил 4)'!N190</f>
        <v>577.20000000000005</v>
      </c>
    </row>
    <row r="36" spans="1:15" ht="15" thickBot="1" x14ac:dyDescent="0.25">
      <c r="A36" s="444" t="s">
        <v>36</v>
      </c>
      <c r="B36" s="445"/>
      <c r="C36" s="446"/>
      <c r="D36" s="447"/>
      <c r="E36" s="448"/>
      <c r="F36" s="448"/>
      <c r="G36" s="449" t="e">
        <f>#REF!+#REF!</f>
        <v>#REF!</v>
      </c>
      <c r="H36" s="449" t="e">
        <f>#REF!+#REF!</f>
        <v>#REF!</v>
      </c>
      <c r="I36" s="449" t="e">
        <f>#REF!+#REF!</f>
        <v>#REF!</v>
      </c>
      <c r="J36" s="450">
        <f>J34+J32+J29+J26+J23+J21+J17+J15+J9</f>
        <v>106364</v>
      </c>
      <c r="O36" s="320"/>
    </row>
    <row r="38" spans="1:15" x14ac:dyDescent="0.2">
      <c r="J38" s="320"/>
    </row>
    <row r="39" spans="1:15" x14ac:dyDescent="0.2">
      <c r="J39" s="108"/>
    </row>
    <row r="41" spans="1:15" x14ac:dyDescent="0.2">
      <c r="J41" s="116"/>
    </row>
  </sheetData>
  <mergeCells count="2">
    <mergeCell ref="A5:J6"/>
    <mergeCell ref="B4:J4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5"/>
  <sheetViews>
    <sheetView tabSelected="1" topLeftCell="A155" workbookViewId="0">
      <selection activeCell="L159" sqref="L159"/>
    </sheetView>
  </sheetViews>
  <sheetFormatPr defaultRowHeight="12.75" x14ac:dyDescent="0.2"/>
  <cols>
    <col min="1" max="1" width="46.140625" style="8" customWidth="1"/>
    <col min="2" max="2" width="16" style="9" customWidth="1"/>
    <col min="3" max="3" width="13.28515625" style="8" customWidth="1"/>
    <col min="4" max="4" width="13.5703125" style="8" customWidth="1"/>
    <col min="5" max="5" width="0.140625" style="9" hidden="1" customWidth="1"/>
    <col min="6" max="6" width="8.140625" style="10" hidden="1" customWidth="1"/>
    <col min="7" max="7" width="8" style="115" hidden="1" customWidth="1"/>
    <col min="8" max="8" width="5.140625" style="115" hidden="1" customWidth="1"/>
    <col min="9" max="9" width="11.7109375" style="115" hidden="1" customWidth="1"/>
    <col min="10" max="10" width="11" style="115" hidden="1" customWidth="1"/>
    <col min="11" max="11" width="12.5703125" style="115" hidden="1" customWidth="1"/>
    <col min="12" max="12" width="15.28515625" style="115" customWidth="1"/>
    <col min="13" max="16" width="0" style="115" hidden="1" customWidth="1"/>
    <col min="17" max="16384" width="9.140625" style="115"/>
  </cols>
  <sheetData>
    <row r="1" spans="1:13" ht="15.75" x14ac:dyDescent="0.2">
      <c r="A1" s="310"/>
      <c r="B1" s="423"/>
      <c r="C1" s="232"/>
      <c r="D1" s="232"/>
      <c r="E1" s="232"/>
      <c r="F1" s="233"/>
      <c r="G1" s="117"/>
      <c r="H1" s="117"/>
      <c r="I1" s="117"/>
      <c r="J1" s="117"/>
      <c r="K1" s="117"/>
      <c r="L1" s="234" t="s">
        <v>309</v>
      </c>
    </row>
    <row r="2" spans="1:13" x14ac:dyDescent="0.2">
      <c r="A2" s="117"/>
      <c r="B2" s="117"/>
      <c r="C2" s="117"/>
      <c r="D2" s="117"/>
      <c r="E2" s="117"/>
      <c r="F2" s="117"/>
      <c r="G2" s="117"/>
      <c r="H2" s="117"/>
      <c r="I2" s="117"/>
      <c r="J2" s="123"/>
      <c r="K2" s="123"/>
      <c r="L2" s="461" t="s">
        <v>610</v>
      </c>
    </row>
    <row r="3" spans="1:13" x14ac:dyDescent="0.2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486" t="s">
        <v>631</v>
      </c>
    </row>
    <row r="4" spans="1:13" x14ac:dyDescent="0.2">
      <c r="A4" s="117"/>
      <c r="B4" s="117"/>
      <c r="C4" s="117"/>
      <c r="D4" s="533"/>
      <c r="E4" s="533"/>
      <c r="F4" s="533"/>
      <c r="G4" s="533"/>
      <c r="H4" s="533"/>
      <c r="I4" s="533"/>
      <c r="J4" s="533"/>
      <c r="K4" s="533"/>
      <c r="L4" s="533"/>
    </row>
    <row r="5" spans="1:13" ht="12.75" customHeight="1" x14ac:dyDescent="0.2">
      <c r="A5" s="534" t="s">
        <v>643</v>
      </c>
      <c r="B5" s="534"/>
      <c r="C5" s="534"/>
      <c r="D5" s="534"/>
      <c r="E5" s="534"/>
      <c r="F5" s="534"/>
      <c r="G5" s="534"/>
      <c r="H5" s="534"/>
      <c r="I5" s="534"/>
      <c r="J5" s="534"/>
      <c r="K5" s="534"/>
      <c r="L5" s="534"/>
    </row>
    <row r="6" spans="1:13" ht="27" customHeight="1" x14ac:dyDescent="0.2">
      <c r="A6" s="534"/>
      <c r="B6" s="534"/>
      <c r="C6" s="534"/>
      <c r="D6" s="534"/>
      <c r="E6" s="534"/>
      <c r="F6" s="534"/>
      <c r="G6" s="534"/>
      <c r="H6" s="534"/>
      <c r="I6" s="534"/>
      <c r="J6" s="534"/>
      <c r="K6" s="534"/>
      <c r="L6" s="534"/>
    </row>
    <row r="7" spans="1:13" ht="13.5" thickBot="1" x14ac:dyDescent="0.25">
      <c r="A7" s="238"/>
      <c r="B7" s="237"/>
      <c r="C7" s="237"/>
      <c r="D7" s="239"/>
      <c r="E7" s="239"/>
      <c r="F7" s="240"/>
      <c r="G7" s="117"/>
      <c r="H7" s="117"/>
      <c r="I7" s="117"/>
      <c r="J7" s="117"/>
      <c r="K7" s="117"/>
      <c r="L7" s="117"/>
    </row>
    <row r="8" spans="1:13" ht="85.5" customHeight="1" thickBot="1" x14ac:dyDescent="0.25">
      <c r="A8" s="242" t="s">
        <v>25</v>
      </c>
      <c r="B8" s="243" t="s">
        <v>26</v>
      </c>
      <c r="C8" s="243" t="s">
        <v>15</v>
      </c>
      <c r="D8" s="243" t="s">
        <v>27</v>
      </c>
      <c r="E8" s="243" t="s">
        <v>28</v>
      </c>
      <c r="F8" s="244" t="s">
        <v>215</v>
      </c>
      <c r="G8" s="245" t="s">
        <v>216</v>
      </c>
      <c r="H8" s="245" t="s">
        <v>212</v>
      </c>
      <c r="I8" s="244" t="s">
        <v>248</v>
      </c>
      <c r="J8" s="245" t="s">
        <v>305</v>
      </c>
      <c r="K8" s="245" t="s">
        <v>249</v>
      </c>
      <c r="L8" s="246" t="s">
        <v>306</v>
      </c>
    </row>
    <row r="9" spans="1:13" ht="20.25" customHeight="1" x14ac:dyDescent="0.2">
      <c r="A9" s="344" t="s">
        <v>74</v>
      </c>
      <c r="B9" s="345" t="s">
        <v>14</v>
      </c>
      <c r="C9" s="345"/>
      <c r="D9" s="345"/>
      <c r="E9" s="346"/>
      <c r="F9" s="347" t="e">
        <f>F11+F14+#REF!</f>
        <v>#REF!</v>
      </c>
      <c r="G9" s="347" t="e">
        <f>G11+G14</f>
        <v>#REF!</v>
      </c>
      <c r="H9" s="347" t="e">
        <f>H11+H14</f>
        <v>#REF!</v>
      </c>
      <c r="I9" s="348" t="e">
        <f>I11+I29+#REF!</f>
        <v>#REF!</v>
      </c>
      <c r="J9" s="348" t="e">
        <f>J11+J29+#REF!</f>
        <v>#REF!</v>
      </c>
      <c r="K9" s="348" t="e">
        <f>K11+K29+#REF!</f>
        <v>#REF!</v>
      </c>
      <c r="L9" s="349">
        <f>L10+L14+L24+L45+L49</f>
        <v>15976.1</v>
      </c>
    </row>
    <row r="10" spans="1:13" ht="41.25" customHeight="1" x14ac:dyDescent="0.2">
      <c r="A10" s="344" t="s">
        <v>320</v>
      </c>
      <c r="B10" s="345" t="s">
        <v>43</v>
      </c>
      <c r="C10" s="345"/>
      <c r="D10" s="345"/>
      <c r="E10" s="346"/>
      <c r="F10" s="347"/>
      <c r="G10" s="347"/>
      <c r="H10" s="347"/>
      <c r="I10" s="348"/>
      <c r="J10" s="348"/>
      <c r="K10" s="348"/>
      <c r="L10" s="349">
        <f>L11</f>
        <v>1080.0999999999999</v>
      </c>
    </row>
    <row r="11" spans="1:13" x14ac:dyDescent="0.2">
      <c r="A11" s="351" t="s">
        <v>158</v>
      </c>
      <c r="B11" s="346" t="s">
        <v>43</v>
      </c>
      <c r="C11" s="346" t="s">
        <v>546</v>
      </c>
      <c r="D11" s="346"/>
      <c r="E11" s="346"/>
      <c r="F11" s="347">
        <f t="shared" ref="F11:K11" si="0">F13</f>
        <v>753.2</v>
      </c>
      <c r="G11" s="347">
        <f t="shared" si="0"/>
        <v>530.70000000000005</v>
      </c>
      <c r="H11" s="347">
        <f t="shared" si="0"/>
        <v>753.2</v>
      </c>
      <c r="I11" s="352">
        <f t="shared" si="0"/>
        <v>918.9</v>
      </c>
      <c r="J11" s="352">
        <f t="shared" si="0"/>
        <v>606.1</v>
      </c>
      <c r="K11" s="352">
        <f t="shared" si="0"/>
        <v>918.9</v>
      </c>
      <c r="L11" s="353">
        <f>L12</f>
        <v>1080.0999999999999</v>
      </c>
    </row>
    <row r="12" spans="1:13" ht="56.25" customHeight="1" x14ac:dyDescent="0.2">
      <c r="A12" s="248" t="s">
        <v>344</v>
      </c>
      <c r="B12" s="249" t="s">
        <v>43</v>
      </c>
      <c r="C12" s="249" t="s">
        <v>546</v>
      </c>
      <c r="D12" s="249" t="s">
        <v>342</v>
      </c>
      <c r="E12" s="249"/>
      <c r="F12" s="250" t="e">
        <f>[2]роспись!H9</f>
        <v>#REF!</v>
      </c>
      <c r="G12" s="250">
        <v>530.70000000000005</v>
      </c>
      <c r="H12" s="250">
        <v>753.2</v>
      </c>
      <c r="I12" s="251">
        <v>918.9</v>
      </c>
      <c r="J12" s="252">
        <v>606.1</v>
      </c>
      <c r="K12" s="253">
        <v>918.9</v>
      </c>
      <c r="L12" s="254">
        <f>L13</f>
        <v>1080.0999999999999</v>
      </c>
      <c r="M12" s="320"/>
    </row>
    <row r="13" spans="1:13" ht="36" x14ac:dyDescent="0.2">
      <c r="A13" s="248" t="s">
        <v>345</v>
      </c>
      <c r="B13" s="249" t="s">
        <v>43</v>
      </c>
      <c r="C13" s="249" t="s">
        <v>546</v>
      </c>
      <c r="D13" s="249" t="s">
        <v>343</v>
      </c>
      <c r="E13" s="249"/>
      <c r="F13" s="250">
        <f>[2]роспись!H10</f>
        <v>753.2</v>
      </c>
      <c r="G13" s="250">
        <v>530.70000000000005</v>
      </c>
      <c r="H13" s="250">
        <v>753.2</v>
      </c>
      <c r="I13" s="251">
        <v>918.9</v>
      </c>
      <c r="J13" s="252">
        <v>606.1</v>
      </c>
      <c r="K13" s="253">
        <v>918.9</v>
      </c>
      <c r="L13" s="254">
        <f>'Вед. 2017 (прил 4)'!N14</f>
        <v>1080.0999999999999</v>
      </c>
    </row>
    <row r="14" spans="1:13" ht="39.75" customHeight="1" x14ac:dyDescent="0.2">
      <c r="A14" s="351" t="s">
        <v>210</v>
      </c>
      <c r="B14" s="346" t="s">
        <v>29</v>
      </c>
      <c r="C14" s="346"/>
      <c r="D14" s="346"/>
      <c r="E14" s="346"/>
      <c r="F14" s="347" t="e">
        <f>F21</f>
        <v>#REF!</v>
      </c>
      <c r="G14" s="347" t="e">
        <f>G21</f>
        <v>#REF!</v>
      </c>
      <c r="H14" s="347" t="e">
        <f>H21</f>
        <v>#REF!</v>
      </c>
      <c r="I14" s="352" t="e">
        <f>I21+I16</f>
        <v>#REF!</v>
      </c>
      <c r="J14" s="352" t="e">
        <f>J21+J16</f>
        <v>#REF!</v>
      </c>
      <c r="K14" s="352" t="e">
        <f>K21+K16</f>
        <v>#REF!</v>
      </c>
      <c r="L14" s="353">
        <f>L21+L16</f>
        <v>2242.9</v>
      </c>
    </row>
    <row r="15" spans="1:13" ht="30" customHeight="1" x14ac:dyDescent="0.2">
      <c r="A15" s="354" t="s">
        <v>591</v>
      </c>
      <c r="B15" s="355" t="s">
        <v>29</v>
      </c>
      <c r="C15" s="346" t="s">
        <v>547</v>
      </c>
      <c r="D15" s="355"/>
      <c r="E15" s="346"/>
      <c r="F15" s="347" t="e">
        <f>#REF!</f>
        <v>#REF!</v>
      </c>
      <c r="G15" s="347" t="e">
        <f>#REF!</f>
        <v>#REF!</v>
      </c>
      <c r="H15" s="347" t="e">
        <f>#REF!</f>
        <v>#REF!</v>
      </c>
      <c r="I15" s="352" t="e">
        <f>#REF!</f>
        <v>#REF!</v>
      </c>
      <c r="J15" s="352" t="e">
        <f>#REF!</f>
        <v>#REF!</v>
      </c>
      <c r="K15" s="352" t="e">
        <f>#REF!</f>
        <v>#REF!</v>
      </c>
      <c r="L15" s="353">
        <f>L16+L21</f>
        <v>2242.9</v>
      </c>
    </row>
    <row r="16" spans="1:13" ht="24" x14ac:dyDescent="0.2">
      <c r="A16" s="351" t="s">
        <v>251</v>
      </c>
      <c r="B16" s="346" t="s">
        <v>29</v>
      </c>
      <c r="C16" s="346" t="s">
        <v>585</v>
      </c>
      <c r="D16" s="346"/>
      <c r="E16" s="346"/>
      <c r="F16" s="347"/>
      <c r="G16" s="347"/>
      <c r="H16" s="347"/>
      <c r="I16" s="352" t="e">
        <f>I18+#REF!</f>
        <v>#REF!</v>
      </c>
      <c r="J16" s="352" t="e">
        <f>J18+#REF!</f>
        <v>#REF!</v>
      </c>
      <c r="K16" s="352" t="e">
        <f>K18+#REF!</f>
        <v>#REF!</v>
      </c>
      <c r="L16" s="353">
        <f>L18+L20</f>
        <v>2102.5</v>
      </c>
    </row>
    <row r="17" spans="1:18" ht="48" x14ac:dyDescent="0.2">
      <c r="A17" s="256" t="s">
        <v>346</v>
      </c>
      <c r="B17" s="249" t="s">
        <v>29</v>
      </c>
      <c r="C17" s="249" t="s">
        <v>585</v>
      </c>
      <c r="D17" s="249" t="s">
        <v>342</v>
      </c>
      <c r="E17" s="249"/>
      <c r="F17" s="250"/>
      <c r="G17" s="250"/>
      <c r="H17" s="250"/>
      <c r="I17" s="298">
        <v>519.5</v>
      </c>
      <c r="J17" s="264">
        <v>330.8</v>
      </c>
      <c r="K17" s="265">
        <v>519.70000000000005</v>
      </c>
      <c r="L17" s="299">
        <f>L18</f>
        <v>1373.5</v>
      </c>
    </row>
    <row r="18" spans="1:18" ht="24" x14ac:dyDescent="0.2">
      <c r="A18" s="256" t="s">
        <v>347</v>
      </c>
      <c r="B18" s="249" t="s">
        <v>29</v>
      </c>
      <c r="C18" s="249" t="s">
        <v>585</v>
      </c>
      <c r="D18" s="249" t="s">
        <v>343</v>
      </c>
      <c r="E18" s="249"/>
      <c r="F18" s="250"/>
      <c r="G18" s="250"/>
      <c r="H18" s="250"/>
      <c r="I18" s="298">
        <v>519.5</v>
      </c>
      <c r="J18" s="264">
        <v>330.8</v>
      </c>
      <c r="K18" s="265">
        <v>519.70000000000005</v>
      </c>
      <c r="L18" s="299">
        <f>'Вед. 2017 (прил 4)'!N19</f>
        <v>1373.5</v>
      </c>
    </row>
    <row r="19" spans="1:18" ht="35.25" customHeight="1" x14ac:dyDescent="0.2">
      <c r="A19" s="257" t="s">
        <v>349</v>
      </c>
      <c r="B19" s="249" t="s">
        <v>29</v>
      </c>
      <c r="C19" s="249" t="s">
        <v>585</v>
      </c>
      <c r="D19" s="249" t="s">
        <v>348</v>
      </c>
      <c r="E19" s="249"/>
      <c r="F19" s="250"/>
      <c r="G19" s="250"/>
      <c r="H19" s="250"/>
      <c r="I19" s="298">
        <v>519.5</v>
      </c>
      <c r="J19" s="264">
        <v>330.8</v>
      </c>
      <c r="K19" s="265">
        <v>519.70000000000005</v>
      </c>
      <c r="L19" s="299">
        <f>L20</f>
        <v>729</v>
      </c>
    </row>
    <row r="20" spans="1:18" ht="36" x14ac:dyDescent="0.2">
      <c r="A20" s="248" t="s">
        <v>314</v>
      </c>
      <c r="B20" s="249" t="s">
        <v>29</v>
      </c>
      <c r="C20" s="249" t="s">
        <v>585</v>
      </c>
      <c r="D20" s="249" t="s">
        <v>256</v>
      </c>
      <c r="E20" s="249"/>
      <c r="F20" s="250"/>
      <c r="G20" s="250"/>
      <c r="H20" s="250"/>
      <c r="I20" s="298">
        <v>519.5</v>
      </c>
      <c r="J20" s="264">
        <v>330.8</v>
      </c>
      <c r="K20" s="265">
        <v>519.70000000000005</v>
      </c>
      <c r="L20" s="299">
        <f>'Вед. 2017 (прил 4)'!N22</f>
        <v>729</v>
      </c>
    </row>
    <row r="21" spans="1:18" ht="30" customHeight="1" x14ac:dyDescent="0.2">
      <c r="A21" s="354" t="s">
        <v>232</v>
      </c>
      <c r="B21" s="355" t="s">
        <v>29</v>
      </c>
      <c r="C21" s="346" t="s">
        <v>586</v>
      </c>
      <c r="D21" s="355"/>
      <c r="E21" s="346"/>
      <c r="F21" s="347" t="e">
        <f>#REF!</f>
        <v>#REF!</v>
      </c>
      <c r="G21" s="347" t="e">
        <f>#REF!</f>
        <v>#REF!</v>
      </c>
      <c r="H21" s="347" t="e">
        <f>#REF!</f>
        <v>#REF!</v>
      </c>
      <c r="I21" s="352" t="e">
        <f>#REF!</f>
        <v>#REF!</v>
      </c>
      <c r="J21" s="352" t="e">
        <f>#REF!</f>
        <v>#REF!</v>
      </c>
      <c r="K21" s="352" t="e">
        <f>#REF!</f>
        <v>#REF!</v>
      </c>
      <c r="L21" s="353">
        <f>L22</f>
        <v>140.4</v>
      </c>
    </row>
    <row r="22" spans="1:18" ht="51" customHeight="1" x14ac:dyDescent="0.2">
      <c r="A22" s="248" t="s">
        <v>344</v>
      </c>
      <c r="B22" s="249" t="s">
        <v>29</v>
      </c>
      <c r="C22" s="249" t="s">
        <v>586</v>
      </c>
      <c r="D22" s="249" t="s">
        <v>342</v>
      </c>
      <c r="E22" s="249"/>
      <c r="F22" s="250" t="e">
        <f>[2]роспись!H13</f>
        <v>#REF!</v>
      </c>
      <c r="G22" s="250">
        <v>530.70000000000005</v>
      </c>
      <c r="H22" s="250">
        <v>753.2</v>
      </c>
      <c r="I22" s="251">
        <v>918.9</v>
      </c>
      <c r="J22" s="252">
        <v>606.1</v>
      </c>
      <c r="K22" s="253">
        <v>918.9</v>
      </c>
      <c r="L22" s="254">
        <f>L23</f>
        <v>140.4</v>
      </c>
    </row>
    <row r="23" spans="1:18" ht="27" customHeight="1" x14ac:dyDescent="0.2">
      <c r="A23" s="248" t="s">
        <v>345</v>
      </c>
      <c r="B23" s="249" t="s">
        <v>29</v>
      </c>
      <c r="C23" s="249" t="s">
        <v>586</v>
      </c>
      <c r="D23" s="249" t="s">
        <v>343</v>
      </c>
      <c r="E23" s="249"/>
      <c r="F23" s="250" t="e">
        <f>[2]роспись!H14</f>
        <v>#REF!</v>
      </c>
      <c r="G23" s="250">
        <v>530.70000000000005</v>
      </c>
      <c r="H23" s="250">
        <v>753.2</v>
      </c>
      <c r="I23" s="251">
        <v>918.9</v>
      </c>
      <c r="J23" s="252">
        <v>606.1</v>
      </c>
      <c r="K23" s="253">
        <v>918.9</v>
      </c>
      <c r="L23" s="254">
        <f>'Вед. 2017 (прил 4)'!N33</f>
        <v>140.4</v>
      </c>
    </row>
    <row r="24" spans="1:18" ht="48" x14ac:dyDescent="0.2">
      <c r="A24" s="351" t="s">
        <v>255</v>
      </c>
      <c r="B24" s="346" t="s">
        <v>46</v>
      </c>
      <c r="C24" s="346"/>
      <c r="D24" s="346"/>
      <c r="E24" s="249"/>
      <c r="F24" s="250">
        <f>F26</f>
        <v>812</v>
      </c>
      <c r="G24" s="250">
        <f>G26</f>
        <v>615.29999999999995</v>
      </c>
      <c r="H24" s="250">
        <f>H26</f>
        <v>812</v>
      </c>
      <c r="I24" s="352" t="e">
        <f>I26+I29+I36</f>
        <v>#REF!</v>
      </c>
      <c r="J24" s="352" t="e">
        <f>J26+J29+J36</f>
        <v>#REF!</v>
      </c>
      <c r="K24" s="352" t="e">
        <f>K26+K29+K36</f>
        <v>#REF!</v>
      </c>
      <c r="L24" s="353">
        <f>L26+L29+L36+L39</f>
        <v>9978</v>
      </c>
      <c r="N24" s="320">
        <f>L24+L10+L14-L36-L39</f>
        <v>12494.7</v>
      </c>
    </row>
    <row r="25" spans="1:18" ht="42" customHeight="1" x14ac:dyDescent="0.2">
      <c r="A25" s="351" t="s">
        <v>589</v>
      </c>
      <c r="B25" s="346" t="s">
        <v>46</v>
      </c>
      <c r="C25" s="346" t="s">
        <v>548</v>
      </c>
      <c r="D25" s="346"/>
      <c r="E25" s="346"/>
      <c r="F25" s="347">
        <v>812</v>
      </c>
      <c r="G25" s="347">
        <v>615.29999999999995</v>
      </c>
      <c r="H25" s="347">
        <v>812</v>
      </c>
      <c r="I25" s="352">
        <f t="shared" ref="I25:L26" si="1">I27</f>
        <v>941.8</v>
      </c>
      <c r="J25" s="352">
        <f t="shared" si="1"/>
        <v>625.6</v>
      </c>
      <c r="K25" s="352">
        <f t="shared" si="1"/>
        <v>941.8</v>
      </c>
      <c r="L25" s="353">
        <f>L26+L29</f>
        <v>9171.7000000000007</v>
      </c>
      <c r="N25" s="320" t="e">
        <f>#REF!-N23</f>
        <v>#REF!</v>
      </c>
    </row>
    <row r="26" spans="1:18" ht="36" x14ac:dyDescent="0.2">
      <c r="A26" s="351" t="s">
        <v>165</v>
      </c>
      <c r="B26" s="346" t="s">
        <v>46</v>
      </c>
      <c r="C26" s="346" t="s">
        <v>587</v>
      </c>
      <c r="D26" s="346"/>
      <c r="E26" s="346"/>
      <c r="F26" s="347">
        <v>812</v>
      </c>
      <c r="G26" s="347">
        <v>615.29999999999995</v>
      </c>
      <c r="H26" s="347">
        <v>812</v>
      </c>
      <c r="I26" s="352">
        <f t="shared" si="1"/>
        <v>941.8</v>
      </c>
      <c r="J26" s="352">
        <f t="shared" si="1"/>
        <v>625.6</v>
      </c>
      <c r="K26" s="352">
        <f t="shared" si="1"/>
        <v>941.8</v>
      </c>
      <c r="L26" s="353">
        <f t="shared" si="1"/>
        <v>1104</v>
      </c>
      <c r="N26" s="320" t="e">
        <f>#REF!-N24</f>
        <v>#REF!</v>
      </c>
    </row>
    <row r="27" spans="1:18" ht="48" x14ac:dyDescent="0.2">
      <c r="A27" s="248" t="s">
        <v>346</v>
      </c>
      <c r="B27" s="249" t="s">
        <v>46</v>
      </c>
      <c r="C27" s="249" t="s">
        <v>587</v>
      </c>
      <c r="D27" s="249" t="s">
        <v>342</v>
      </c>
      <c r="E27" s="249"/>
      <c r="F27" s="250">
        <f t="shared" ref="F27:H28" si="2">F28</f>
        <v>8080.0000000000009</v>
      </c>
      <c r="G27" s="250">
        <f t="shared" si="2"/>
        <v>5102.6000000000004</v>
      </c>
      <c r="H27" s="250">
        <f t="shared" si="2"/>
        <v>8080</v>
      </c>
      <c r="I27" s="251">
        <v>941.8</v>
      </c>
      <c r="J27" s="250">
        <v>625.6</v>
      </c>
      <c r="K27" s="250">
        <v>941.8</v>
      </c>
      <c r="L27" s="254">
        <f>L28</f>
        <v>1104</v>
      </c>
    </row>
    <row r="28" spans="1:18" ht="24" x14ac:dyDescent="0.2">
      <c r="A28" s="248" t="s">
        <v>347</v>
      </c>
      <c r="B28" s="249" t="s">
        <v>46</v>
      </c>
      <c r="C28" s="249" t="s">
        <v>587</v>
      </c>
      <c r="D28" s="249" t="s">
        <v>343</v>
      </c>
      <c r="E28" s="249"/>
      <c r="F28" s="250">
        <f t="shared" si="2"/>
        <v>8080.0000000000009</v>
      </c>
      <c r="G28" s="250">
        <f t="shared" si="2"/>
        <v>5102.6000000000004</v>
      </c>
      <c r="H28" s="250">
        <f t="shared" si="2"/>
        <v>8080</v>
      </c>
      <c r="I28" s="251">
        <v>941.8</v>
      </c>
      <c r="J28" s="250">
        <v>625.6</v>
      </c>
      <c r="K28" s="250">
        <v>941.8</v>
      </c>
      <c r="L28" s="254">
        <f>'Вед. 2017 (прил 4)'!N40</f>
        <v>1104</v>
      </c>
    </row>
    <row r="29" spans="1:18" ht="36" x14ac:dyDescent="0.2">
      <c r="A29" s="358" t="s">
        <v>175</v>
      </c>
      <c r="B29" s="346" t="s">
        <v>46</v>
      </c>
      <c r="C29" s="346" t="s">
        <v>588</v>
      </c>
      <c r="D29" s="346"/>
      <c r="E29" s="346"/>
      <c r="F29" s="347">
        <f>[2]роспись!H22</f>
        <v>8080.0000000000009</v>
      </c>
      <c r="G29" s="347">
        <v>5102.6000000000004</v>
      </c>
      <c r="H29" s="347">
        <v>8080</v>
      </c>
      <c r="I29" s="352" t="e">
        <f>I31+I33</f>
        <v>#REF!</v>
      </c>
      <c r="J29" s="352" t="e">
        <f>J31+J33</f>
        <v>#REF!</v>
      </c>
      <c r="K29" s="352" t="e">
        <f>K31+K33</f>
        <v>#REF!</v>
      </c>
      <c r="L29" s="353">
        <f>L30+L32+L34</f>
        <v>8067.7000000000007</v>
      </c>
    </row>
    <row r="30" spans="1:18" ht="48" x14ac:dyDescent="0.2">
      <c r="A30" s="248" t="s">
        <v>346</v>
      </c>
      <c r="B30" s="249" t="s">
        <v>46</v>
      </c>
      <c r="C30" s="249" t="s">
        <v>588</v>
      </c>
      <c r="D30" s="249" t="s">
        <v>342</v>
      </c>
      <c r="E30" s="258" t="s">
        <v>77</v>
      </c>
      <c r="F30" s="260">
        <f>F31</f>
        <v>12.7</v>
      </c>
      <c r="G30" s="260">
        <f>G31</f>
        <v>0</v>
      </c>
      <c r="H30" s="260" t="str">
        <f>H31</f>
        <v>12,7</v>
      </c>
      <c r="I30" s="251">
        <v>8250.9</v>
      </c>
      <c r="J30" s="260">
        <v>5168.5</v>
      </c>
      <c r="K30" s="260">
        <v>8250.9</v>
      </c>
      <c r="L30" s="261">
        <f>L31</f>
        <v>4624.1000000000004</v>
      </c>
      <c r="R30" s="320"/>
    </row>
    <row r="31" spans="1:18" ht="24" x14ac:dyDescent="0.2">
      <c r="A31" s="248" t="s">
        <v>347</v>
      </c>
      <c r="B31" s="249" t="s">
        <v>46</v>
      </c>
      <c r="C31" s="249" t="s">
        <v>588</v>
      </c>
      <c r="D31" s="249" t="s">
        <v>343</v>
      </c>
      <c r="E31" s="258" t="s">
        <v>77</v>
      </c>
      <c r="F31" s="260">
        <f>F33</f>
        <v>12.7</v>
      </c>
      <c r="G31" s="260">
        <f>G33</f>
        <v>0</v>
      </c>
      <c r="H31" s="260" t="str">
        <f>H33</f>
        <v>12,7</v>
      </c>
      <c r="I31" s="251">
        <v>8250.9</v>
      </c>
      <c r="J31" s="260">
        <v>5168.5</v>
      </c>
      <c r="K31" s="260">
        <v>8250.9</v>
      </c>
      <c r="L31" s="261">
        <f>'Вед. 2017 (прил 4)'!N43</f>
        <v>4624.1000000000004</v>
      </c>
    </row>
    <row r="32" spans="1:18" ht="32.25" customHeight="1" x14ac:dyDescent="0.2">
      <c r="A32" s="257" t="s">
        <v>349</v>
      </c>
      <c r="B32" s="249" t="s">
        <v>46</v>
      </c>
      <c r="C32" s="249" t="s">
        <v>588</v>
      </c>
      <c r="D32" s="249" t="s">
        <v>348</v>
      </c>
      <c r="E32" s="258" t="s">
        <v>77</v>
      </c>
      <c r="F32" s="260" t="e">
        <f>[2]роспись!H36</f>
        <v>#REF!</v>
      </c>
      <c r="G32" s="260"/>
      <c r="H32" s="260" t="s">
        <v>193</v>
      </c>
      <c r="I32" s="251" t="e">
        <f>I33+#REF!</f>
        <v>#REF!</v>
      </c>
      <c r="J32" s="251" t="e">
        <f>J33+#REF!</f>
        <v>#REF!</v>
      </c>
      <c r="K32" s="251" t="e">
        <f>K33+#REF!</f>
        <v>#REF!</v>
      </c>
      <c r="L32" s="254">
        <f>L33</f>
        <v>3399.6</v>
      </c>
    </row>
    <row r="33" spans="1:12" ht="36" x14ac:dyDescent="0.2">
      <c r="A33" s="248" t="s">
        <v>314</v>
      </c>
      <c r="B33" s="249" t="s">
        <v>46</v>
      </c>
      <c r="C33" s="249" t="s">
        <v>588</v>
      </c>
      <c r="D33" s="249" t="s">
        <v>256</v>
      </c>
      <c r="E33" s="258" t="s">
        <v>77</v>
      </c>
      <c r="F33" s="260">
        <f>[2]роспись!H37</f>
        <v>12.7</v>
      </c>
      <c r="G33" s="260"/>
      <c r="H33" s="260" t="s">
        <v>193</v>
      </c>
      <c r="I33" s="251" t="e">
        <f>#REF!+#REF!</f>
        <v>#REF!</v>
      </c>
      <c r="J33" s="251" t="e">
        <f>#REF!+#REF!</f>
        <v>#REF!</v>
      </c>
      <c r="K33" s="251" t="e">
        <f>#REF!+#REF!</f>
        <v>#REF!</v>
      </c>
      <c r="L33" s="254">
        <f>'Вед. 2017 (прил 4)'!N45</f>
        <v>3399.6</v>
      </c>
    </row>
    <row r="34" spans="1:12" ht="24" x14ac:dyDescent="0.2">
      <c r="A34" s="257" t="s">
        <v>354</v>
      </c>
      <c r="B34" s="249" t="s">
        <v>46</v>
      </c>
      <c r="C34" s="249" t="s">
        <v>588</v>
      </c>
      <c r="D34" s="249" t="s">
        <v>353</v>
      </c>
      <c r="E34" s="249"/>
      <c r="F34" s="250"/>
      <c r="G34" s="250"/>
      <c r="H34" s="250"/>
      <c r="I34" s="250">
        <v>519.5</v>
      </c>
      <c r="J34" s="250">
        <v>330.8</v>
      </c>
      <c r="K34" s="250">
        <v>519.70000000000005</v>
      </c>
      <c r="L34" s="414">
        <f>L35</f>
        <v>44</v>
      </c>
    </row>
    <row r="35" spans="1:12" ht="19.5" customHeight="1" x14ac:dyDescent="0.2">
      <c r="A35" s="248" t="s">
        <v>356</v>
      </c>
      <c r="B35" s="249" t="s">
        <v>46</v>
      </c>
      <c r="C35" s="249" t="s">
        <v>588</v>
      </c>
      <c r="D35" s="249" t="s">
        <v>355</v>
      </c>
      <c r="E35" s="258" t="s">
        <v>77</v>
      </c>
      <c r="F35" s="260" t="e">
        <f>[2]роспись!G46</f>
        <v>#REF!</v>
      </c>
      <c r="G35" s="260"/>
      <c r="H35" s="260" t="s">
        <v>193</v>
      </c>
      <c r="I35" s="250" t="e">
        <f>I36+I37</f>
        <v>#REF!</v>
      </c>
      <c r="J35" s="250" t="e">
        <f>J36+J37</f>
        <v>#REF!</v>
      </c>
      <c r="K35" s="250" t="e">
        <f>K36+K37</f>
        <v>#REF!</v>
      </c>
      <c r="L35" s="414">
        <f>'Вед. 2017 (прил 4)'!N47</f>
        <v>44</v>
      </c>
    </row>
    <row r="36" spans="1:12" ht="51" customHeight="1" x14ac:dyDescent="0.2">
      <c r="A36" s="358" t="s">
        <v>601</v>
      </c>
      <c r="B36" s="359" t="s">
        <v>46</v>
      </c>
      <c r="C36" s="359" t="s">
        <v>602</v>
      </c>
      <c r="D36" s="359"/>
      <c r="E36" s="359"/>
      <c r="F36" s="364">
        <v>50</v>
      </c>
      <c r="G36" s="347"/>
      <c r="H36" s="347"/>
      <c r="I36" s="365" t="e">
        <f>#REF!</f>
        <v>#REF!</v>
      </c>
      <c r="J36" s="365" t="e">
        <f>#REF!</f>
        <v>#REF!</v>
      </c>
      <c r="K36" s="365">
        <v>5</v>
      </c>
      <c r="L36" s="366">
        <f>L37</f>
        <v>6.9</v>
      </c>
    </row>
    <row r="37" spans="1:12" ht="25.5" customHeight="1" x14ac:dyDescent="0.2">
      <c r="A37" s="257" t="s">
        <v>349</v>
      </c>
      <c r="B37" s="249" t="s">
        <v>46</v>
      </c>
      <c r="C37" s="258" t="s">
        <v>602</v>
      </c>
      <c r="D37" s="249" t="s">
        <v>348</v>
      </c>
      <c r="E37" s="258" t="s">
        <v>77</v>
      </c>
      <c r="F37" s="260" t="e">
        <f>[2]роспись!H39</f>
        <v>#REF!</v>
      </c>
      <c r="G37" s="260"/>
      <c r="H37" s="260" t="s">
        <v>193</v>
      </c>
      <c r="I37" s="251" t="e">
        <f>I38+#REF!</f>
        <v>#REF!</v>
      </c>
      <c r="J37" s="251" t="e">
        <f>J38+#REF!</f>
        <v>#REF!</v>
      </c>
      <c r="K37" s="251" t="e">
        <f>K38+#REF!</f>
        <v>#REF!</v>
      </c>
      <c r="L37" s="254">
        <f>L38</f>
        <v>6.9</v>
      </c>
    </row>
    <row r="38" spans="1:12" ht="27.75" customHeight="1" x14ac:dyDescent="0.2">
      <c r="A38" s="248" t="s">
        <v>314</v>
      </c>
      <c r="B38" s="249" t="s">
        <v>46</v>
      </c>
      <c r="C38" s="258" t="s">
        <v>602</v>
      </c>
      <c r="D38" s="249" t="s">
        <v>256</v>
      </c>
      <c r="E38" s="258" t="s">
        <v>77</v>
      </c>
      <c r="F38" s="260" t="e">
        <f>[2]роспись!H40</f>
        <v>#REF!</v>
      </c>
      <c r="G38" s="260"/>
      <c r="H38" s="260" t="s">
        <v>193</v>
      </c>
      <c r="I38" s="251" t="e">
        <f>#REF!+#REF!</f>
        <v>#REF!</v>
      </c>
      <c r="J38" s="251" t="e">
        <f>#REF!+#REF!</f>
        <v>#REF!</v>
      </c>
      <c r="K38" s="251" t="e">
        <f>#REF!+#REF!</f>
        <v>#REF!</v>
      </c>
      <c r="L38" s="254">
        <f>'Вед. 2017 (прил 4)'!N50</f>
        <v>6.9</v>
      </c>
    </row>
    <row r="39" spans="1:12" ht="48" x14ac:dyDescent="0.2">
      <c r="A39" s="358" t="s">
        <v>603</v>
      </c>
      <c r="B39" s="346" t="s">
        <v>46</v>
      </c>
      <c r="C39" s="359" t="s">
        <v>604</v>
      </c>
      <c r="D39" s="346"/>
      <c r="E39" s="301"/>
      <c r="F39" s="302"/>
      <c r="G39" s="303"/>
      <c r="H39" s="303"/>
      <c r="I39" s="352">
        <f>I40</f>
        <v>657.2</v>
      </c>
      <c r="J39" s="352">
        <f>J40</f>
        <v>424.8</v>
      </c>
      <c r="K39" s="352">
        <f>K40</f>
        <v>657.2</v>
      </c>
      <c r="L39" s="353">
        <f>L40</f>
        <v>799.4</v>
      </c>
    </row>
    <row r="40" spans="1:12" ht="24" x14ac:dyDescent="0.2">
      <c r="A40" s="300" t="s">
        <v>176</v>
      </c>
      <c r="B40" s="249" t="s">
        <v>46</v>
      </c>
      <c r="C40" s="258" t="s">
        <v>604</v>
      </c>
      <c r="D40" s="249"/>
      <c r="E40" s="301"/>
      <c r="F40" s="302"/>
      <c r="G40" s="303"/>
      <c r="H40" s="303"/>
      <c r="I40" s="251">
        <v>657.2</v>
      </c>
      <c r="J40" s="251">
        <v>424.8</v>
      </c>
      <c r="K40" s="251">
        <v>657.2</v>
      </c>
      <c r="L40" s="254">
        <f>L41+L43</f>
        <v>799.4</v>
      </c>
    </row>
    <row r="41" spans="1:12" ht="57" customHeight="1" x14ac:dyDescent="0.2">
      <c r="A41" s="248" t="s">
        <v>346</v>
      </c>
      <c r="B41" s="249" t="s">
        <v>46</v>
      </c>
      <c r="C41" s="258" t="s">
        <v>604</v>
      </c>
      <c r="D41" s="249" t="s">
        <v>342</v>
      </c>
      <c r="E41" s="301"/>
      <c r="F41" s="302"/>
      <c r="G41" s="303"/>
      <c r="H41" s="303"/>
      <c r="I41" s="251"/>
      <c r="J41" s="251"/>
      <c r="K41" s="251"/>
      <c r="L41" s="254">
        <f>L42</f>
        <v>736.3</v>
      </c>
    </row>
    <row r="42" spans="1:12" ht="24" x14ac:dyDescent="0.2">
      <c r="A42" s="248" t="s">
        <v>347</v>
      </c>
      <c r="B42" s="249" t="s">
        <v>46</v>
      </c>
      <c r="C42" s="258" t="s">
        <v>604</v>
      </c>
      <c r="D42" s="249" t="s">
        <v>343</v>
      </c>
      <c r="E42" s="301"/>
      <c r="F42" s="302"/>
      <c r="G42" s="303"/>
      <c r="H42" s="303"/>
      <c r="I42" s="251"/>
      <c r="J42" s="251"/>
      <c r="K42" s="251"/>
      <c r="L42" s="254">
        <f>'Вед. 2017 (прил 4)'!N54</f>
        <v>736.3</v>
      </c>
    </row>
    <row r="43" spans="1:12" ht="26.25" customHeight="1" x14ac:dyDescent="0.2">
      <c r="A43" s="257" t="s">
        <v>349</v>
      </c>
      <c r="B43" s="249" t="s">
        <v>46</v>
      </c>
      <c r="C43" s="258" t="s">
        <v>604</v>
      </c>
      <c r="D43" s="249" t="s">
        <v>348</v>
      </c>
      <c r="E43" s="301"/>
      <c r="F43" s="302"/>
      <c r="G43" s="303"/>
      <c r="H43" s="303"/>
      <c r="I43" s="251"/>
      <c r="J43" s="251"/>
      <c r="K43" s="251"/>
      <c r="L43" s="254">
        <f>L44</f>
        <v>63.1</v>
      </c>
    </row>
    <row r="44" spans="1:12" ht="26.25" customHeight="1" x14ac:dyDescent="0.2">
      <c r="A44" s="248" t="s">
        <v>314</v>
      </c>
      <c r="B44" s="249" t="s">
        <v>46</v>
      </c>
      <c r="C44" s="258" t="s">
        <v>604</v>
      </c>
      <c r="D44" s="249" t="s">
        <v>256</v>
      </c>
      <c r="E44" s="301"/>
      <c r="F44" s="302"/>
      <c r="G44" s="303"/>
      <c r="H44" s="303"/>
      <c r="I44" s="251"/>
      <c r="J44" s="251"/>
      <c r="K44" s="251"/>
      <c r="L44" s="254">
        <f>'Вед. 2017 (прил 4)'!N56</f>
        <v>63.1</v>
      </c>
    </row>
    <row r="45" spans="1:12" ht="23.25" customHeight="1" x14ac:dyDescent="0.2">
      <c r="A45" s="358" t="s">
        <v>313</v>
      </c>
      <c r="B45" s="346" t="s">
        <v>182</v>
      </c>
      <c r="C45" s="346"/>
      <c r="D45" s="346"/>
      <c r="E45" s="249"/>
      <c r="F45" s="250">
        <f>F46</f>
        <v>80</v>
      </c>
      <c r="G45" s="250">
        <f t="shared" ref="G45:L45" si="3">G46</f>
        <v>69.900000000000006</v>
      </c>
      <c r="H45" s="250">
        <f t="shared" si="3"/>
        <v>80</v>
      </c>
      <c r="I45" s="368">
        <f t="shared" si="3"/>
        <v>50</v>
      </c>
      <c r="J45" s="368">
        <f t="shared" si="3"/>
        <v>0</v>
      </c>
      <c r="K45" s="368">
        <f t="shared" si="3"/>
        <v>0</v>
      </c>
      <c r="L45" s="353">
        <f t="shared" si="3"/>
        <v>20</v>
      </c>
    </row>
    <row r="46" spans="1:12" ht="20.25" customHeight="1" x14ac:dyDescent="0.2">
      <c r="A46" s="351" t="s">
        <v>166</v>
      </c>
      <c r="B46" s="359" t="s">
        <v>182</v>
      </c>
      <c r="C46" s="359" t="s">
        <v>545</v>
      </c>
      <c r="D46" s="359"/>
      <c r="E46" s="346"/>
      <c r="F46" s="347">
        <v>80</v>
      </c>
      <c r="G46" s="347">
        <v>69.900000000000006</v>
      </c>
      <c r="H46" s="347">
        <v>80</v>
      </c>
      <c r="I46" s="365">
        <f>I48</f>
        <v>50</v>
      </c>
      <c r="J46" s="365">
        <f>J48</f>
        <v>0</v>
      </c>
      <c r="K46" s="365">
        <f>K48</f>
        <v>0</v>
      </c>
      <c r="L46" s="366">
        <f>L48</f>
        <v>20</v>
      </c>
    </row>
    <row r="47" spans="1:12" ht="18" customHeight="1" x14ac:dyDescent="0.2">
      <c r="A47" s="370" t="s">
        <v>354</v>
      </c>
      <c r="B47" s="258" t="s">
        <v>182</v>
      </c>
      <c r="C47" s="258" t="s">
        <v>545</v>
      </c>
      <c r="D47" s="258" t="s">
        <v>353</v>
      </c>
      <c r="E47" s="346"/>
      <c r="F47" s="360">
        <f t="shared" ref="F47:H48" si="4">F48</f>
        <v>100</v>
      </c>
      <c r="G47" s="360">
        <f t="shared" si="4"/>
        <v>0</v>
      </c>
      <c r="H47" s="360">
        <f t="shared" si="4"/>
        <v>100</v>
      </c>
      <c r="I47" s="251">
        <v>50</v>
      </c>
      <c r="J47" s="360"/>
      <c r="K47" s="360">
        <v>0</v>
      </c>
      <c r="L47" s="254">
        <f>L48</f>
        <v>20</v>
      </c>
    </row>
    <row r="48" spans="1:12" ht="21.75" customHeight="1" x14ac:dyDescent="0.2">
      <c r="A48" s="248" t="s">
        <v>257</v>
      </c>
      <c r="B48" s="258" t="s">
        <v>182</v>
      </c>
      <c r="C48" s="258" t="s">
        <v>545</v>
      </c>
      <c r="D48" s="258" t="s">
        <v>258</v>
      </c>
      <c r="E48" s="346"/>
      <c r="F48" s="360">
        <f t="shared" si="4"/>
        <v>100</v>
      </c>
      <c r="G48" s="360">
        <f t="shared" si="4"/>
        <v>0</v>
      </c>
      <c r="H48" s="360">
        <f t="shared" si="4"/>
        <v>100</v>
      </c>
      <c r="I48" s="251">
        <v>50</v>
      </c>
      <c r="J48" s="360"/>
      <c r="K48" s="360">
        <v>0</v>
      </c>
      <c r="L48" s="254">
        <f>'Вед. 2017 (прил 4)'!N60</f>
        <v>20</v>
      </c>
    </row>
    <row r="49" spans="1:18" ht="17.25" customHeight="1" x14ac:dyDescent="0.2">
      <c r="A49" s="358" t="s">
        <v>30</v>
      </c>
      <c r="B49" s="346" t="s">
        <v>183</v>
      </c>
      <c r="C49" s="346"/>
      <c r="D49" s="346"/>
      <c r="E49" s="249"/>
      <c r="F49" s="250">
        <v>100</v>
      </c>
      <c r="G49" s="250"/>
      <c r="H49" s="250">
        <v>100</v>
      </c>
      <c r="I49" s="368" t="e">
        <f>#REF!+I50+I56+I65+I71+I68</f>
        <v>#REF!</v>
      </c>
      <c r="J49" s="368" t="e">
        <f>#REF!+J50+J56+J65+J71+J68</f>
        <v>#REF!</v>
      </c>
      <c r="K49" s="368" t="e">
        <f>#REF!+K50+K56+K65+K71+K68</f>
        <v>#REF!</v>
      </c>
      <c r="L49" s="353">
        <f>L56+L65+L53+L71+L68+L74+L59+L50+L77+L62</f>
        <v>2655.1</v>
      </c>
    </row>
    <row r="50" spans="1:18" ht="45" customHeight="1" x14ac:dyDescent="0.2">
      <c r="A50" s="358" t="s">
        <v>167</v>
      </c>
      <c r="B50" s="346" t="s">
        <v>183</v>
      </c>
      <c r="C50" s="346" t="s">
        <v>549</v>
      </c>
      <c r="D50" s="346"/>
      <c r="E50" s="346"/>
      <c r="F50" s="360">
        <f>F52</f>
        <v>60</v>
      </c>
      <c r="G50" s="360">
        <f t="shared" ref="G50:L50" si="5">G52</f>
        <v>15</v>
      </c>
      <c r="H50" s="360">
        <f t="shared" si="5"/>
        <v>60</v>
      </c>
      <c r="I50" s="352">
        <f t="shared" si="5"/>
        <v>100</v>
      </c>
      <c r="J50" s="352">
        <f t="shared" si="5"/>
        <v>45</v>
      </c>
      <c r="K50" s="352">
        <f t="shared" si="5"/>
        <v>100</v>
      </c>
      <c r="L50" s="353">
        <f t="shared" si="5"/>
        <v>35.5</v>
      </c>
    </row>
    <row r="51" spans="1:18" ht="24.75" customHeight="1" x14ac:dyDescent="0.2">
      <c r="A51" s="257" t="s">
        <v>349</v>
      </c>
      <c r="B51" s="249" t="s">
        <v>183</v>
      </c>
      <c r="C51" s="249" t="s">
        <v>549</v>
      </c>
      <c r="D51" s="249" t="s">
        <v>348</v>
      </c>
      <c r="E51" s="249"/>
      <c r="F51" s="249" t="e">
        <f>[2]роспись!H47</f>
        <v>#REF!</v>
      </c>
      <c r="G51" s="250">
        <v>15</v>
      </c>
      <c r="H51" s="250">
        <v>60</v>
      </c>
      <c r="I51" s="251">
        <v>100</v>
      </c>
      <c r="J51" s="371">
        <v>45</v>
      </c>
      <c r="K51" s="372">
        <v>100</v>
      </c>
      <c r="L51" s="254">
        <f>L52</f>
        <v>35.5</v>
      </c>
    </row>
    <row r="52" spans="1:18" ht="26.25" customHeight="1" x14ac:dyDescent="0.2">
      <c r="A52" s="248" t="s">
        <v>314</v>
      </c>
      <c r="B52" s="249" t="s">
        <v>183</v>
      </c>
      <c r="C52" s="249" t="s">
        <v>549</v>
      </c>
      <c r="D52" s="249" t="s">
        <v>256</v>
      </c>
      <c r="E52" s="249"/>
      <c r="F52" s="249">
        <f>[2]роспись!H48</f>
        <v>60</v>
      </c>
      <c r="G52" s="250">
        <v>15</v>
      </c>
      <c r="H52" s="250">
        <v>60</v>
      </c>
      <c r="I52" s="251">
        <v>100</v>
      </c>
      <c r="J52" s="371">
        <v>45</v>
      </c>
      <c r="K52" s="372">
        <v>100</v>
      </c>
      <c r="L52" s="254">
        <f>'Вед. 2017 (прил 4)'!N64</f>
        <v>35.5</v>
      </c>
    </row>
    <row r="53" spans="1:18" ht="22.5" customHeight="1" x14ac:dyDescent="0.2">
      <c r="A53" s="358" t="s">
        <v>435</v>
      </c>
      <c r="B53" s="346" t="s">
        <v>183</v>
      </c>
      <c r="C53" s="346" t="s">
        <v>550</v>
      </c>
      <c r="D53" s="346"/>
      <c r="E53" s="346"/>
      <c r="F53" s="347" t="e">
        <f>F55</f>
        <v>#REF!</v>
      </c>
      <c r="G53" s="347" t="e">
        <f t="shared" ref="G53:L53" si="6">G55</f>
        <v>#REF!</v>
      </c>
      <c r="H53" s="347" t="e">
        <f t="shared" si="6"/>
        <v>#REF!</v>
      </c>
      <c r="I53" s="352">
        <f t="shared" si="6"/>
        <v>400</v>
      </c>
      <c r="J53" s="352">
        <f t="shared" si="6"/>
        <v>323.89999999999998</v>
      </c>
      <c r="K53" s="352">
        <f t="shared" si="6"/>
        <v>400</v>
      </c>
      <c r="L53" s="353">
        <f t="shared" si="6"/>
        <v>1160.3</v>
      </c>
    </row>
    <row r="54" spans="1:18" ht="27" customHeight="1" x14ac:dyDescent="0.2">
      <c r="A54" s="257" t="s">
        <v>349</v>
      </c>
      <c r="B54" s="249" t="s">
        <v>183</v>
      </c>
      <c r="C54" s="249" t="s">
        <v>550</v>
      </c>
      <c r="D54" s="249" t="s">
        <v>348</v>
      </c>
      <c r="E54" s="249"/>
      <c r="F54" s="250" t="e">
        <f>#REF!+F55</f>
        <v>#REF!</v>
      </c>
      <c r="G54" s="250" t="e">
        <f>#REF!+G55</f>
        <v>#REF!</v>
      </c>
      <c r="H54" s="250" t="e">
        <f>#REF!+H55</f>
        <v>#REF!</v>
      </c>
      <c r="I54" s="251">
        <v>400</v>
      </c>
      <c r="J54" s="250">
        <v>323.89999999999998</v>
      </c>
      <c r="K54" s="250">
        <v>400</v>
      </c>
      <c r="L54" s="254">
        <f>L55</f>
        <v>1160.3</v>
      </c>
    </row>
    <row r="55" spans="1:18" ht="36" x14ac:dyDescent="0.2">
      <c r="A55" s="248" t="s">
        <v>314</v>
      </c>
      <c r="B55" s="249" t="s">
        <v>183</v>
      </c>
      <c r="C55" s="249" t="s">
        <v>550</v>
      </c>
      <c r="D55" s="249" t="s">
        <v>256</v>
      </c>
      <c r="E55" s="249"/>
      <c r="F55" s="250" t="e">
        <f>#REF!+F71</f>
        <v>#REF!</v>
      </c>
      <c r="G55" s="250" t="e">
        <f>#REF!+G71</f>
        <v>#REF!</v>
      </c>
      <c r="H55" s="250" t="e">
        <f>#REF!+H71</f>
        <v>#REF!</v>
      </c>
      <c r="I55" s="251">
        <v>400</v>
      </c>
      <c r="J55" s="250">
        <v>323.89999999999998</v>
      </c>
      <c r="K55" s="250">
        <v>400</v>
      </c>
      <c r="L55" s="254">
        <f>'Вед. 2017 (прил 4)'!N67</f>
        <v>1160.3</v>
      </c>
      <c r="R55" s="320"/>
    </row>
    <row r="56" spans="1:18" ht="50.25" customHeight="1" x14ac:dyDescent="0.2">
      <c r="A56" s="358" t="s">
        <v>434</v>
      </c>
      <c r="B56" s="346" t="s">
        <v>183</v>
      </c>
      <c r="C56" s="346" t="s">
        <v>556</v>
      </c>
      <c r="D56" s="346"/>
      <c r="E56" s="346"/>
      <c r="F56" s="347" t="e">
        <f>F58</f>
        <v>#REF!</v>
      </c>
      <c r="G56" s="347" t="e">
        <f t="shared" ref="G56:L56" si="7">G58</f>
        <v>#REF!</v>
      </c>
      <c r="H56" s="347" t="e">
        <f t="shared" si="7"/>
        <v>#REF!</v>
      </c>
      <c r="I56" s="352">
        <f t="shared" si="7"/>
        <v>400</v>
      </c>
      <c r="J56" s="352">
        <f t="shared" si="7"/>
        <v>323.89999999999998</v>
      </c>
      <c r="K56" s="352">
        <f t="shared" si="7"/>
        <v>400</v>
      </c>
      <c r="L56" s="353">
        <f t="shared" si="7"/>
        <v>1117.2</v>
      </c>
    </row>
    <row r="57" spans="1:18" ht="27" customHeight="1" x14ac:dyDescent="0.2">
      <c r="A57" s="257" t="s">
        <v>349</v>
      </c>
      <c r="B57" s="249" t="s">
        <v>183</v>
      </c>
      <c r="C57" s="249" t="s">
        <v>556</v>
      </c>
      <c r="D57" s="249" t="s">
        <v>348</v>
      </c>
      <c r="E57" s="249"/>
      <c r="F57" s="250" t="e">
        <f>#REF!+F58</f>
        <v>#REF!</v>
      </c>
      <c r="G57" s="250" t="e">
        <f>#REF!+G58</f>
        <v>#REF!</v>
      </c>
      <c r="H57" s="250" t="e">
        <f>#REF!+H58</f>
        <v>#REF!</v>
      </c>
      <c r="I57" s="251">
        <v>400</v>
      </c>
      <c r="J57" s="250">
        <v>323.89999999999998</v>
      </c>
      <c r="K57" s="250">
        <v>400</v>
      </c>
      <c r="L57" s="254">
        <f>L58</f>
        <v>1117.2</v>
      </c>
    </row>
    <row r="58" spans="1:18" ht="30.75" customHeight="1" x14ac:dyDescent="0.2">
      <c r="A58" s="248" t="s">
        <v>314</v>
      </c>
      <c r="B58" s="249" t="s">
        <v>183</v>
      </c>
      <c r="C58" s="249" t="s">
        <v>556</v>
      </c>
      <c r="D58" s="249" t="s">
        <v>256</v>
      </c>
      <c r="E58" s="249"/>
      <c r="F58" s="250" t="e">
        <f>#REF!+F65</f>
        <v>#REF!</v>
      </c>
      <c r="G58" s="250" t="e">
        <f>#REF!+G65</f>
        <v>#REF!</v>
      </c>
      <c r="H58" s="250" t="e">
        <f>#REF!+H65</f>
        <v>#REF!</v>
      </c>
      <c r="I58" s="251">
        <v>400</v>
      </c>
      <c r="J58" s="250">
        <v>323.89999999999998</v>
      </c>
      <c r="K58" s="250">
        <v>400</v>
      </c>
      <c r="L58" s="254">
        <f>'Вед. 2017 (прил 4)'!N70</f>
        <v>1117.2</v>
      </c>
    </row>
    <row r="59" spans="1:18" ht="48" x14ac:dyDescent="0.2">
      <c r="A59" s="358" t="s">
        <v>512</v>
      </c>
      <c r="B59" s="346" t="s">
        <v>183</v>
      </c>
      <c r="C59" s="346" t="s">
        <v>551</v>
      </c>
      <c r="D59" s="346"/>
      <c r="E59" s="249"/>
      <c r="F59" s="250">
        <f>F61</f>
        <v>70</v>
      </c>
      <c r="G59" s="250">
        <f t="shared" ref="G59:L59" si="8">G61</f>
        <v>0</v>
      </c>
      <c r="H59" s="250">
        <f t="shared" si="8"/>
        <v>20</v>
      </c>
      <c r="I59" s="352">
        <f t="shared" si="8"/>
        <v>60</v>
      </c>
      <c r="J59" s="352">
        <f t="shared" si="8"/>
        <v>30</v>
      </c>
      <c r="K59" s="352">
        <f t="shared" si="8"/>
        <v>60</v>
      </c>
      <c r="L59" s="353">
        <f t="shared" si="8"/>
        <v>29.6</v>
      </c>
    </row>
    <row r="60" spans="1:18" ht="30.75" customHeight="1" x14ac:dyDescent="0.2">
      <c r="A60" s="257" t="s">
        <v>349</v>
      </c>
      <c r="B60" s="249" t="s">
        <v>183</v>
      </c>
      <c r="C60" s="249" t="s">
        <v>551</v>
      </c>
      <c r="D60" s="249" t="s">
        <v>348</v>
      </c>
      <c r="E60" s="249"/>
      <c r="F60" s="250">
        <v>70</v>
      </c>
      <c r="G60" s="250"/>
      <c r="H60" s="250">
        <v>20</v>
      </c>
      <c r="I60" s="251">
        <v>60</v>
      </c>
      <c r="J60" s="264">
        <v>30</v>
      </c>
      <c r="K60" s="265">
        <v>60</v>
      </c>
      <c r="L60" s="254">
        <f>L61</f>
        <v>29.6</v>
      </c>
    </row>
    <row r="61" spans="1:18" ht="30" customHeight="1" x14ac:dyDescent="0.2">
      <c r="A61" s="248" t="s">
        <v>314</v>
      </c>
      <c r="B61" s="249" t="s">
        <v>183</v>
      </c>
      <c r="C61" s="249" t="s">
        <v>551</v>
      </c>
      <c r="D61" s="249" t="s">
        <v>256</v>
      </c>
      <c r="E61" s="249"/>
      <c r="F61" s="250">
        <v>70</v>
      </c>
      <c r="G61" s="250"/>
      <c r="H61" s="250">
        <v>20</v>
      </c>
      <c r="I61" s="251">
        <v>60</v>
      </c>
      <c r="J61" s="264">
        <v>30</v>
      </c>
      <c r="K61" s="265">
        <v>60</v>
      </c>
      <c r="L61" s="254">
        <f>'Вед. 2017 (прил 4)'!N73</f>
        <v>29.6</v>
      </c>
    </row>
    <row r="62" spans="1:18" ht="30" customHeight="1" x14ac:dyDescent="0.2">
      <c r="A62" s="351" t="s">
        <v>654</v>
      </c>
      <c r="B62" s="346" t="s">
        <v>183</v>
      </c>
      <c r="C62" s="346" t="s">
        <v>655</v>
      </c>
      <c r="D62" s="510"/>
      <c r="E62" s="346"/>
      <c r="F62" s="250"/>
      <c r="G62" s="250"/>
      <c r="H62" s="250"/>
      <c r="I62" s="251"/>
      <c r="J62" s="507"/>
      <c r="K62" s="265"/>
      <c r="L62" s="353">
        <f>L63</f>
        <v>120</v>
      </c>
    </row>
    <row r="63" spans="1:18" ht="30" customHeight="1" x14ac:dyDescent="0.2">
      <c r="A63" s="257" t="s">
        <v>349</v>
      </c>
      <c r="B63" s="249" t="s">
        <v>183</v>
      </c>
      <c r="C63" s="249" t="s">
        <v>655</v>
      </c>
      <c r="D63" s="511">
        <v>200</v>
      </c>
      <c r="E63" s="249" t="s">
        <v>348</v>
      </c>
      <c r="F63" s="250"/>
      <c r="G63" s="250"/>
      <c r="H63" s="250"/>
      <c r="I63" s="251"/>
      <c r="J63" s="507"/>
      <c r="K63" s="265"/>
      <c r="L63" s="254">
        <f>L64</f>
        <v>120</v>
      </c>
    </row>
    <row r="64" spans="1:18" ht="30" customHeight="1" x14ac:dyDescent="0.2">
      <c r="A64" s="248" t="s">
        <v>314</v>
      </c>
      <c r="B64" s="249" t="s">
        <v>183</v>
      </c>
      <c r="C64" s="249" t="s">
        <v>655</v>
      </c>
      <c r="D64" s="511">
        <v>240</v>
      </c>
      <c r="E64" s="249" t="s">
        <v>256</v>
      </c>
      <c r="F64" s="250"/>
      <c r="G64" s="250"/>
      <c r="H64" s="250"/>
      <c r="I64" s="251"/>
      <c r="J64" s="507"/>
      <c r="K64" s="265"/>
      <c r="L64" s="254">
        <f>'Вед. 2017 (прил 4)'!N76</f>
        <v>120</v>
      </c>
    </row>
    <row r="65" spans="1:12" ht="36" x14ac:dyDescent="0.2">
      <c r="A65" s="358" t="s">
        <v>259</v>
      </c>
      <c r="B65" s="346" t="s">
        <v>183</v>
      </c>
      <c r="C65" s="346" t="s">
        <v>553</v>
      </c>
      <c r="D65" s="346"/>
      <c r="E65" s="249"/>
      <c r="F65" s="250">
        <f>F67</f>
        <v>70</v>
      </c>
      <c r="G65" s="250">
        <f t="shared" ref="G65:L65" si="9">G67</f>
        <v>0</v>
      </c>
      <c r="H65" s="250">
        <f t="shared" si="9"/>
        <v>20</v>
      </c>
      <c r="I65" s="352">
        <f t="shared" si="9"/>
        <v>60</v>
      </c>
      <c r="J65" s="352">
        <f t="shared" si="9"/>
        <v>30</v>
      </c>
      <c r="K65" s="352">
        <f t="shared" si="9"/>
        <v>60</v>
      </c>
      <c r="L65" s="353">
        <f t="shared" si="9"/>
        <v>72</v>
      </c>
    </row>
    <row r="66" spans="1:12" ht="24" x14ac:dyDescent="0.2">
      <c r="A66" s="304" t="s">
        <v>354</v>
      </c>
      <c r="B66" s="249" t="s">
        <v>183</v>
      </c>
      <c r="C66" s="249" t="s">
        <v>553</v>
      </c>
      <c r="D66" s="249" t="s">
        <v>353</v>
      </c>
      <c r="E66" s="249"/>
      <c r="F66" s="250">
        <v>70</v>
      </c>
      <c r="G66" s="250"/>
      <c r="H66" s="250">
        <v>20</v>
      </c>
      <c r="I66" s="251">
        <v>60</v>
      </c>
      <c r="J66" s="264">
        <v>30</v>
      </c>
      <c r="K66" s="265">
        <v>60</v>
      </c>
      <c r="L66" s="254">
        <f>L67</f>
        <v>72</v>
      </c>
    </row>
    <row r="67" spans="1:12" ht="24" x14ac:dyDescent="0.2">
      <c r="A67" s="304" t="s">
        <v>356</v>
      </c>
      <c r="B67" s="249" t="s">
        <v>183</v>
      </c>
      <c r="C67" s="249" t="s">
        <v>553</v>
      </c>
      <c r="D67" s="249" t="s">
        <v>355</v>
      </c>
      <c r="E67" s="249"/>
      <c r="F67" s="250">
        <v>70</v>
      </c>
      <c r="G67" s="250"/>
      <c r="H67" s="250">
        <v>20</v>
      </c>
      <c r="I67" s="251">
        <v>60</v>
      </c>
      <c r="J67" s="264">
        <v>30</v>
      </c>
      <c r="K67" s="265">
        <v>60</v>
      </c>
      <c r="L67" s="254">
        <f>'Вед. 2017 (прил 4)'!N79</f>
        <v>72</v>
      </c>
    </row>
    <row r="68" spans="1:12" ht="71.25" customHeight="1" x14ac:dyDescent="0.2">
      <c r="A68" s="358" t="s">
        <v>637</v>
      </c>
      <c r="B68" s="346" t="s">
        <v>183</v>
      </c>
      <c r="C68" s="346" t="s">
        <v>554</v>
      </c>
      <c r="D68" s="346"/>
      <c r="E68" s="249"/>
      <c r="F68" s="250"/>
      <c r="G68" s="250"/>
      <c r="H68" s="250"/>
      <c r="I68" s="373">
        <f>I70</f>
        <v>170</v>
      </c>
      <c r="J68" s="373">
        <f>J70</f>
        <v>150</v>
      </c>
      <c r="K68" s="373">
        <f>K70</f>
        <v>170</v>
      </c>
      <c r="L68" s="374">
        <f>L70</f>
        <v>18.5</v>
      </c>
    </row>
    <row r="69" spans="1:12" ht="30.75" customHeight="1" x14ac:dyDescent="0.2">
      <c r="A69" s="257" t="s">
        <v>349</v>
      </c>
      <c r="B69" s="282" t="s">
        <v>183</v>
      </c>
      <c r="C69" s="249" t="s">
        <v>554</v>
      </c>
      <c r="D69" s="282" t="s">
        <v>348</v>
      </c>
      <c r="E69" s="249"/>
      <c r="F69" s="250"/>
      <c r="G69" s="250"/>
      <c r="H69" s="250"/>
      <c r="I69" s="298">
        <v>170</v>
      </c>
      <c r="J69" s="250">
        <v>150</v>
      </c>
      <c r="K69" s="250">
        <v>170</v>
      </c>
      <c r="L69" s="254">
        <f>L70</f>
        <v>18.5</v>
      </c>
    </row>
    <row r="70" spans="1:12" ht="31.5" customHeight="1" x14ac:dyDescent="0.2">
      <c r="A70" s="248" t="s">
        <v>314</v>
      </c>
      <c r="B70" s="282" t="s">
        <v>183</v>
      </c>
      <c r="C70" s="249" t="s">
        <v>554</v>
      </c>
      <c r="D70" s="282" t="s">
        <v>256</v>
      </c>
      <c r="E70" s="249"/>
      <c r="F70" s="250"/>
      <c r="G70" s="250"/>
      <c r="H70" s="250"/>
      <c r="I70" s="298">
        <v>170</v>
      </c>
      <c r="J70" s="250">
        <v>150</v>
      </c>
      <c r="K70" s="250">
        <v>170</v>
      </c>
      <c r="L70" s="254">
        <f>'Вед. 2017 (прил 4)'!N82</f>
        <v>18.5</v>
      </c>
    </row>
    <row r="71" spans="1:12" ht="51" customHeight="1" x14ac:dyDescent="0.2">
      <c r="A71" s="358" t="s">
        <v>526</v>
      </c>
      <c r="B71" s="346" t="s">
        <v>183</v>
      </c>
      <c r="C71" s="346" t="s">
        <v>552</v>
      </c>
      <c r="D71" s="346"/>
      <c r="E71" s="346"/>
      <c r="F71" s="347" t="e">
        <f>F73+F81+#REF!+F82</f>
        <v>#REF!</v>
      </c>
      <c r="G71" s="347" t="e">
        <f>G73+G81+#REF!+G82</f>
        <v>#REF!</v>
      </c>
      <c r="H71" s="347" t="e">
        <f>H73+H81+#REF!+H82</f>
        <v>#REF!</v>
      </c>
      <c r="I71" s="352">
        <f>I73</f>
        <v>92</v>
      </c>
      <c r="J71" s="352">
        <f>J73</f>
        <v>48.2</v>
      </c>
      <c r="K71" s="352">
        <f>K73</f>
        <v>92</v>
      </c>
      <c r="L71" s="353">
        <f>L73</f>
        <v>80</v>
      </c>
    </row>
    <row r="72" spans="1:12" ht="35.25" customHeight="1" x14ac:dyDescent="0.2">
      <c r="A72" s="257" t="s">
        <v>349</v>
      </c>
      <c r="B72" s="249" t="s">
        <v>183</v>
      </c>
      <c r="C72" s="249" t="s">
        <v>552</v>
      </c>
      <c r="D72" s="249" t="s">
        <v>348</v>
      </c>
      <c r="E72" s="249"/>
      <c r="F72" s="250"/>
      <c r="G72" s="250"/>
      <c r="H72" s="250"/>
      <c r="I72" s="251">
        <v>92</v>
      </c>
      <c r="J72" s="250">
        <v>48.2</v>
      </c>
      <c r="K72" s="250">
        <v>92</v>
      </c>
      <c r="L72" s="254">
        <f>L73</f>
        <v>80</v>
      </c>
    </row>
    <row r="73" spans="1:12" ht="27.75" customHeight="1" x14ac:dyDescent="0.2">
      <c r="A73" s="248" t="s">
        <v>314</v>
      </c>
      <c r="B73" s="249" t="s">
        <v>183</v>
      </c>
      <c r="C73" s="249" t="s">
        <v>552</v>
      </c>
      <c r="D73" s="249" t="s">
        <v>256</v>
      </c>
      <c r="E73" s="249"/>
      <c r="F73" s="250"/>
      <c r="G73" s="250"/>
      <c r="H73" s="250"/>
      <c r="I73" s="251">
        <v>92</v>
      </c>
      <c r="J73" s="250">
        <v>48.2</v>
      </c>
      <c r="K73" s="250">
        <v>92</v>
      </c>
      <c r="L73" s="254">
        <f>'Вед. 2017 (прил 4)'!N85</f>
        <v>80</v>
      </c>
    </row>
    <row r="74" spans="1:12" ht="69" customHeight="1" x14ac:dyDescent="0.2">
      <c r="A74" s="358" t="s">
        <v>436</v>
      </c>
      <c r="B74" s="346" t="s">
        <v>183</v>
      </c>
      <c r="C74" s="346" t="s">
        <v>555</v>
      </c>
      <c r="D74" s="346"/>
      <c r="E74" s="346"/>
      <c r="F74" s="347" t="e">
        <f>F76+F85+#REF!+#REF!</f>
        <v>#REF!</v>
      </c>
      <c r="G74" s="347" t="e">
        <f>G76+G85+#REF!+#REF!</f>
        <v>#REF!</v>
      </c>
      <c r="H74" s="347" t="e">
        <f>H76+H85+#REF!+#REF!</f>
        <v>#REF!</v>
      </c>
      <c r="I74" s="352">
        <f>I76</f>
        <v>92</v>
      </c>
      <c r="J74" s="352">
        <f>J76</f>
        <v>48.2</v>
      </c>
      <c r="K74" s="352">
        <f>K76</f>
        <v>92</v>
      </c>
      <c r="L74" s="353">
        <f>L76</f>
        <v>0</v>
      </c>
    </row>
    <row r="75" spans="1:12" ht="26.25" customHeight="1" x14ac:dyDescent="0.2">
      <c r="A75" s="257" t="s">
        <v>349</v>
      </c>
      <c r="B75" s="249" t="s">
        <v>183</v>
      </c>
      <c r="C75" s="249" t="s">
        <v>555</v>
      </c>
      <c r="D75" s="249" t="s">
        <v>348</v>
      </c>
      <c r="E75" s="249"/>
      <c r="F75" s="250"/>
      <c r="G75" s="250"/>
      <c r="H75" s="250"/>
      <c r="I75" s="251">
        <v>92</v>
      </c>
      <c r="J75" s="250">
        <v>48.2</v>
      </c>
      <c r="K75" s="250">
        <v>92</v>
      </c>
      <c r="L75" s="254">
        <f>L76</f>
        <v>0</v>
      </c>
    </row>
    <row r="76" spans="1:12" ht="27.75" customHeight="1" x14ac:dyDescent="0.2">
      <c r="A76" s="248" t="s">
        <v>314</v>
      </c>
      <c r="B76" s="249" t="s">
        <v>183</v>
      </c>
      <c r="C76" s="249" t="s">
        <v>555</v>
      </c>
      <c r="D76" s="249" t="s">
        <v>256</v>
      </c>
      <c r="E76" s="249"/>
      <c r="F76" s="250"/>
      <c r="G76" s="250"/>
      <c r="H76" s="250"/>
      <c r="I76" s="251">
        <v>92</v>
      </c>
      <c r="J76" s="250">
        <v>48.2</v>
      </c>
      <c r="K76" s="250">
        <v>92</v>
      </c>
      <c r="L76" s="254">
        <f>'Вед. 2017 (прил 4)'!N88</f>
        <v>0</v>
      </c>
    </row>
    <row r="77" spans="1:12" ht="27.75" customHeight="1" x14ac:dyDescent="0.2">
      <c r="A77" s="351" t="s">
        <v>636</v>
      </c>
      <c r="B77" s="346" t="s">
        <v>138</v>
      </c>
      <c r="C77" s="346" t="s">
        <v>183</v>
      </c>
      <c r="D77" s="346" t="s">
        <v>638</v>
      </c>
      <c r="E77" s="346" t="s">
        <v>256</v>
      </c>
      <c r="F77" s="250"/>
      <c r="G77" s="250"/>
      <c r="H77" s="250"/>
      <c r="I77" s="495"/>
      <c r="J77" s="496"/>
      <c r="K77" s="496"/>
      <c r="L77" s="494">
        <f>L78</f>
        <v>22</v>
      </c>
    </row>
    <row r="78" spans="1:12" ht="27.75" customHeight="1" x14ac:dyDescent="0.2">
      <c r="A78" s="257" t="s">
        <v>349</v>
      </c>
      <c r="B78" s="249" t="s">
        <v>138</v>
      </c>
      <c r="C78" s="249" t="s">
        <v>183</v>
      </c>
      <c r="D78" s="249" t="s">
        <v>555</v>
      </c>
      <c r="E78" s="249" t="s">
        <v>348</v>
      </c>
      <c r="F78" s="250"/>
      <c r="G78" s="250"/>
      <c r="H78" s="250"/>
      <c r="I78" s="495"/>
      <c r="J78" s="496"/>
      <c r="K78" s="496"/>
      <c r="L78" s="414">
        <f>L79</f>
        <v>22</v>
      </c>
    </row>
    <row r="79" spans="1:12" ht="27.75" customHeight="1" thickBot="1" x14ac:dyDescent="0.25">
      <c r="A79" s="248" t="s">
        <v>314</v>
      </c>
      <c r="B79" s="249" t="s">
        <v>138</v>
      </c>
      <c r="C79" s="249" t="s">
        <v>183</v>
      </c>
      <c r="D79" s="249" t="s">
        <v>555</v>
      </c>
      <c r="E79" s="249" t="s">
        <v>256</v>
      </c>
      <c r="F79" s="250"/>
      <c r="G79" s="250"/>
      <c r="H79" s="250"/>
      <c r="I79" s="495"/>
      <c r="J79" s="496"/>
      <c r="K79" s="496"/>
      <c r="L79" s="414">
        <f>'Вед. 2017 (прил 4)'!N91</f>
        <v>22</v>
      </c>
    </row>
    <row r="80" spans="1:12" ht="24.75" thickBot="1" x14ac:dyDescent="0.25">
      <c r="A80" s="376" t="s">
        <v>37</v>
      </c>
      <c r="B80" s="377" t="s">
        <v>31</v>
      </c>
      <c r="C80" s="377"/>
      <c r="D80" s="377"/>
      <c r="E80" s="346"/>
      <c r="F80" s="347" t="e">
        <f>F81+#REF!+F87+F94</f>
        <v>#REF!</v>
      </c>
      <c r="G80" s="347" t="e">
        <f>G81+#REF!+G87+G94</f>
        <v>#REF!</v>
      </c>
      <c r="H80" s="347" t="e">
        <f>H81+#REF!+H87+H94</f>
        <v>#REF!</v>
      </c>
      <c r="I80" s="378" t="e">
        <f>I81</f>
        <v>#REF!</v>
      </c>
      <c r="J80" s="378" t="e">
        <f>J81</f>
        <v>#REF!</v>
      </c>
      <c r="K80" s="378" t="e">
        <f>K81</f>
        <v>#REF!</v>
      </c>
      <c r="L80" s="491">
        <f>L81</f>
        <v>182</v>
      </c>
    </row>
    <row r="81" spans="1:12" ht="36" x14ac:dyDescent="0.2">
      <c r="A81" s="381" t="s">
        <v>180</v>
      </c>
      <c r="B81" s="345" t="s">
        <v>21</v>
      </c>
      <c r="C81" s="345"/>
      <c r="D81" s="345"/>
      <c r="E81" s="346"/>
      <c r="F81" s="347" t="e">
        <f>#REF!</f>
        <v>#REF!</v>
      </c>
      <c r="G81" s="347" t="e">
        <f>#REF!</f>
        <v>#REF!</v>
      </c>
      <c r="H81" s="347" t="e">
        <f>#REF!</f>
        <v>#REF!</v>
      </c>
      <c r="I81" s="348" t="e">
        <f>#REF!+I82</f>
        <v>#REF!</v>
      </c>
      <c r="J81" s="348" t="e">
        <f>#REF!+J82</f>
        <v>#REF!</v>
      </c>
      <c r="K81" s="348" t="e">
        <f>#REF!+K82</f>
        <v>#REF!</v>
      </c>
      <c r="L81" s="349">
        <f>L82+L85</f>
        <v>182</v>
      </c>
    </row>
    <row r="82" spans="1:12" ht="89.25" customHeight="1" x14ac:dyDescent="0.2">
      <c r="A82" s="358" t="s">
        <v>443</v>
      </c>
      <c r="B82" s="346" t="s">
        <v>21</v>
      </c>
      <c r="C82" s="393" t="s">
        <v>557</v>
      </c>
      <c r="D82" s="346"/>
      <c r="E82" s="346"/>
      <c r="F82" s="347">
        <f>[2]роспись!H63</f>
        <v>5320</v>
      </c>
      <c r="G82" s="347">
        <v>3277.5</v>
      </c>
      <c r="H82" s="347">
        <v>5320</v>
      </c>
      <c r="I82" s="352">
        <f>I87</f>
        <v>18</v>
      </c>
      <c r="J82" s="352">
        <f>J87</f>
        <v>0</v>
      </c>
      <c r="K82" s="352">
        <f>K87</f>
        <v>18</v>
      </c>
      <c r="L82" s="353">
        <f>L83</f>
        <v>140</v>
      </c>
    </row>
    <row r="83" spans="1:12" ht="32.25" customHeight="1" x14ac:dyDescent="0.2">
      <c r="A83" s="257" t="s">
        <v>349</v>
      </c>
      <c r="B83" s="282" t="s">
        <v>21</v>
      </c>
      <c r="C83" s="282" t="s">
        <v>557</v>
      </c>
      <c r="D83" s="282" t="s">
        <v>348</v>
      </c>
      <c r="E83" s="282"/>
      <c r="F83" s="283">
        <f>F87</f>
        <v>668</v>
      </c>
      <c r="G83" s="283">
        <f>G87</f>
        <v>480</v>
      </c>
      <c r="H83" s="283">
        <f>H87</f>
        <v>668</v>
      </c>
      <c r="I83" s="298">
        <v>18</v>
      </c>
      <c r="J83" s="283">
        <v>0</v>
      </c>
      <c r="K83" s="283">
        <v>18</v>
      </c>
      <c r="L83" s="299">
        <f>L84</f>
        <v>140</v>
      </c>
    </row>
    <row r="84" spans="1:12" ht="34.5" customHeight="1" x14ac:dyDescent="0.2">
      <c r="A84" s="248" t="s">
        <v>314</v>
      </c>
      <c r="B84" s="282" t="s">
        <v>21</v>
      </c>
      <c r="C84" s="282" t="s">
        <v>557</v>
      </c>
      <c r="D84" s="282" t="s">
        <v>256</v>
      </c>
      <c r="E84" s="282"/>
      <c r="F84" s="283">
        <f>F87</f>
        <v>668</v>
      </c>
      <c r="G84" s="283">
        <f>G87</f>
        <v>480</v>
      </c>
      <c r="H84" s="283">
        <f>H87</f>
        <v>668</v>
      </c>
      <c r="I84" s="298">
        <v>18</v>
      </c>
      <c r="J84" s="283">
        <v>0</v>
      </c>
      <c r="K84" s="283">
        <v>18</v>
      </c>
      <c r="L84" s="299">
        <f>'Вед. 2017 (прил 4)'!N96</f>
        <v>140</v>
      </c>
    </row>
    <row r="85" spans="1:12" ht="60" x14ac:dyDescent="0.2">
      <c r="A85" s="358" t="s">
        <v>444</v>
      </c>
      <c r="B85" s="346" t="s">
        <v>21</v>
      </c>
      <c r="C85" s="393" t="s">
        <v>558</v>
      </c>
      <c r="D85" s="346"/>
      <c r="E85" s="346"/>
      <c r="F85" s="347" t="e">
        <f>[2]роспись!H66</f>
        <v>#REF!</v>
      </c>
      <c r="G85" s="347">
        <v>3277.5</v>
      </c>
      <c r="H85" s="347">
        <v>5320</v>
      </c>
      <c r="I85" s="352" t="e">
        <f>I94</f>
        <v>#REF!</v>
      </c>
      <c r="J85" s="352" t="e">
        <f>J94</f>
        <v>#REF!</v>
      </c>
      <c r="K85" s="352" t="e">
        <f>K94</f>
        <v>#REF!</v>
      </c>
      <c r="L85" s="353">
        <f>L86</f>
        <v>42</v>
      </c>
    </row>
    <row r="86" spans="1:12" ht="33.75" customHeight="1" x14ac:dyDescent="0.2">
      <c r="A86" s="257" t="s">
        <v>349</v>
      </c>
      <c r="B86" s="282" t="s">
        <v>21</v>
      </c>
      <c r="C86" s="282" t="s">
        <v>558</v>
      </c>
      <c r="D86" s="282" t="s">
        <v>348</v>
      </c>
      <c r="E86" s="282"/>
      <c r="F86" s="283" t="e">
        <f>#REF!</f>
        <v>#REF!</v>
      </c>
      <c r="G86" s="283" t="e">
        <f>#REF!</f>
        <v>#REF!</v>
      </c>
      <c r="H86" s="283" t="e">
        <f>#REF!</f>
        <v>#REF!</v>
      </c>
      <c r="I86" s="298">
        <v>18</v>
      </c>
      <c r="J86" s="283">
        <v>0</v>
      </c>
      <c r="K86" s="283">
        <v>18</v>
      </c>
      <c r="L86" s="299">
        <f>L87</f>
        <v>42</v>
      </c>
    </row>
    <row r="87" spans="1:12" ht="27.75" customHeight="1" thickBot="1" x14ac:dyDescent="0.25">
      <c r="A87" s="248" t="s">
        <v>314</v>
      </c>
      <c r="B87" s="282" t="s">
        <v>21</v>
      </c>
      <c r="C87" s="282" t="s">
        <v>558</v>
      </c>
      <c r="D87" s="282" t="s">
        <v>256</v>
      </c>
      <c r="E87" s="282"/>
      <c r="F87" s="283">
        <f>F93</f>
        <v>668</v>
      </c>
      <c r="G87" s="283">
        <f>G93</f>
        <v>480</v>
      </c>
      <c r="H87" s="283">
        <f>H93</f>
        <v>668</v>
      </c>
      <c r="I87" s="298">
        <v>18</v>
      </c>
      <c r="J87" s="283">
        <v>0</v>
      </c>
      <c r="K87" s="283">
        <v>18</v>
      </c>
      <c r="L87" s="299">
        <f>'Вед. 2017 (прил 4)'!N99</f>
        <v>42</v>
      </c>
    </row>
    <row r="88" spans="1:12" ht="21" customHeight="1" thickBot="1" x14ac:dyDescent="0.25">
      <c r="A88" s="382" t="s">
        <v>321</v>
      </c>
      <c r="B88" s="377" t="s">
        <v>322</v>
      </c>
      <c r="C88" s="377"/>
      <c r="D88" s="377"/>
      <c r="E88" s="377"/>
      <c r="F88" s="383"/>
      <c r="G88" s="383"/>
      <c r="H88" s="383"/>
      <c r="I88" s="378"/>
      <c r="J88" s="384"/>
      <c r="K88" s="384"/>
      <c r="L88" s="379">
        <f>L89+L93+L97</f>
        <v>49123.500000000007</v>
      </c>
    </row>
    <row r="89" spans="1:12" ht="15.75" customHeight="1" thickBot="1" x14ac:dyDescent="0.25">
      <c r="A89" s="376" t="s">
        <v>441</v>
      </c>
      <c r="B89" s="377" t="s">
        <v>438</v>
      </c>
      <c r="C89" s="377"/>
      <c r="D89" s="377"/>
      <c r="E89" s="385"/>
      <c r="F89" s="386">
        <f>[2]роспись!H63</f>
        <v>5320</v>
      </c>
      <c r="G89" s="386">
        <v>480</v>
      </c>
      <c r="H89" s="386">
        <v>668</v>
      </c>
      <c r="I89" s="378" t="e">
        <f>I90</f>
        <v>#REF!</v>
      </c>
      <c r="J89" s="378" t="e">
        <f>J90</f>
        <v>#REF!</v>
      </c>
      <c r="K89" s="378" t="e">
        <f>K90</f>
        <v>#REF!</v>
      </c>
      <c r="L89" s="379">
        <f>L90</f>
        <v>163.80000000000001</v>
      </c>
    </row>
    <row r="90" spans="1:12" ht="36.75" customHeight="1" x14ac:dyDescent="0.2">
      <c r="A90" s="387" t="s">
        <v>644</v>
      </c>
      <c r="B90" s="345" t="s">
        <v>438</v>
      </c>
      <c r="C90" s="346" t="s">
        <v>561</v>
      </c>
      <c r="D90" s="345"/>
      <c r="E90" s="345"/>
      <c r="F90" s="356" t="e">
        <f>F92</f>
        <v>#REF!</v>
      </c>
      <c r="G90" s="356">
        <f>G92</f>
        <v>459.2</v>
      </c>
      <c r="H90" s="356">
        <f>H92</f>
        <v>796</v>
      </c>
      <c r="I90" s="348" t="e">
        <f>I92+#REF!</f>
        <v>#REF!</v>
      </c>
      <c r="J90" s="348" t="e">
        <f>J92+#REF!</f>
        <v>#REF!</v>
      </c>
      <c r="K90" s="348" t="e">
        <f>K92+#REF!</f>
        <v>#REF!</v>
      </c>
      <c r="L90" s="349">
        <f>L91</f>
        <v>163.80000000000001</v>
      </c>
    </row>
    <row r="91" spans="1:12" ht="23.25" customHeight="1" x14ac:dyDescent="0.2">
      <c r="A91" s="257" t="s">
        <v>440</v>
      </c>
      <c r="B91" s="249" t="s">
        <v>438</v>
      </c>
      <c r="C91" s="249" t="s">
        <v>561</v>
      </c>
      <c r="D91" s="249" t="s">
        <v>353</v>
      </c>
      <c r="E91" s="249"/>
      <c r="F91" s="250" t="e">
        <f>[2]роспись!H64</f>
        <v>#REF!</v>
      </c>
      <c r="G91" s="250">
        <v>459.2</v>
      </c>
      <c r="H91" s="250">
        <v>796</v>
      </c>
      <c r="I91" s="251">
        <f>6469.6+600</f>
        <v>7069.6</v>
      </c>
      <c r="J91" s="264">
        <v>2772.6</v>
      </c>
      <c r="K91" s="265">
        <v>7069.6</v>
      </c>
      <c r="L91" s="254">
        <f>L92</f>
        <v>163.80000000000001</v>
      </c>
    </row>
    <row r="92" spans="1:12" ht="38.25" customHeight="1" thickBot="1" x14ac:dyDescent="0.25">
      <c r="A92" s="248" t="s">
        <v>442</v>
      </c>
      <c r="B92" s="249" t="s">
        <v>438</v>
      </c>
      <c r="C92" s="249" t="s">
        <v>561</v>
      </c>
      <c r="D92" s="249" t="s">
        <v>439</v>
      </c>
      <c r="E92" s="249"/>
      <c r="F92" s="250" t="e">
        <f>[2]роспись!H65</f>
        <v>#REF!</v>
      </c>
      <c r="G92" s="250">
        <v>459.2</v>
      </c>
      <c r="H92" s="250">
        <v>796</v>
      </c>
      <c r="I92" s="251">
        <f>6469.6+600</f>
        <v>7069.6</v>
      </c>
      <c r="J92" s="264">
        <v>2772.6</v>
      </c>
      <c r="K92" s="265">
        <v>7069.6</v>
      </c>
      <c r="L92" s="254">
        <f>'Вед. 2017 (прил 4)'!N104</f>
        <v>163.80000000000001</v>
      </c>
    </row>
    <row r="93" spans="1:12" ht="21" customHeight="1" thickBot="1" x14ac:dyDescent="0.25">
      <c r="A93" s="376" t="s">
        <v>224</v>
      </c>
      <c r="B93" s="377" t="s">
        <v>223</v>
      </c>
      <c r="C93" s="377"/>
      <c r="D93" s="377"/>
      <c r="E93" s="385"/>
      <c r="F93" s="386">
        <f>[2]роспись!H68</f>
        <v>668</v>
      </c>
      <c r="G93" s="386">
        <v>480</v>
      </c>
      <c r="H93" s="386">
        <v>668</v>
      </c>
      <c r="I93" s="378" t="e">
        <f>I94</f>
        <v>#REF!</v>
      </c>
      <c r="J93" s="378" t="e">
        <f>J94</f>
        <v>#REF!</v>
      </c>
      <c r="K93" s="378" t="e">
        <f>K94</f>
        <v>#REF!</v>
      </c>
      <c r="L93" s="379">
        <f>L94</f>
        <v>48899.3</v>
      </c>
    </row>
    <row r="94" spans="1:12" ht="24" x14ac:dyDescent="0.2">
      <c r="A94" s="387" t="s">
        <v>260</v>
      </c>
      <c r="B94" s="345" t="s">
        <v>223</v>
      </c>
      <c r="C94" s="346" t="s">
        <v>559</v>
      </c>
      <c r="D94" s="345"/>
      <c r="E94" s="345"/>
      <c r="F94" s="356">
        <f>F96</f>
        <v>796</v>
      </c>
      <c r="G94" s="356">
        <f>G96</f>
        <v>459.2</v>
      </c>
      <c r="H94" s="356">
        <f>H96</f>
        <v>796</v>
      </c>
      <c r="I94" s="348" t="e">
        <f>I96+#REF!</f>
        <v>#REF!</v>
      </c>
      <c r="J94" s="348" t="e">
        <f>J96+#REF!</f>
        <v>#REF!</v>
      </c>
      <c r="K94" s="348" t="e">
        <f>K96+#REF!</f>
        <v>#REF!</v>
      </c>
      <c r="L94" s="349">
        <f>L96</f>
        <v>48899.3</v>
      </c>
    </row>
    <row r="95" spans="1:12" ht="29.25" customHeight="1" x14ac:dyDescent="0.2">
      <c r="A95" s="257" t="s">
        <v>349</v>
      </c>
      <c r="B95" s="249" t="s">
        <v>223</v>
      </c>
      <c r="C95" s="249" t="s">
        <v>559</v>
      </c>
      <c r="D95" s="249" t="s">
        <v>348</v>
      </c>
      <c r="E95" s="249"/>
      <c r="F95" s="250" t="e">
        <f>[2]роспись!H69</f>
        <v>#REF!</v>
      </c>
      <c r="G95" s="250">
        <v>459.2</v>
      </c>
      <c r="H95" s="250">
        <v>796</v>
      </c>
      <c r="I95" s="251">
        <f>6469.6+600</f>
        <v>7069.6</v>
      </c>
      <c r="J95" s="264">
        <v>2772.6</v>
      </c>
      <c r="K95" s="265">
        <v>7069.6</v>
      </c>
      <c r="L95" s="254">
        <f>L96</f>
        <v>48899.3</v>
      </c>
    </row>
    <row r="96" spans="1:12" ht="27.75" customHeight="1" thickBot="1" x14ac:dyDescent="0.25">
      <c r="A96" s="248" t="s">
        <v>314</v>
      </c>
      <c r="B96" s="249" t="s">
        <v>223</v>
      </c>
      <c r="C96" s="249" t="s">
        <v>559</v>
      </c>
      <c r="D96" s="249" t="s">
        <v>256</v>
      </c>
      <c r="E96" s="249"/>
      <c r="F96" s="250">
        <f>[2]роспись!H70</f>
        <v>796</v>
      </c>
      <c r="G96" s="250">
        <v>459.2</v>
      </c>
      <c r="H96" s="250">
        <v>796</v>
      </c>
      <c r="I96" s="251">
        <f>6469.6+600</f>
        <v>7069.6</v>
      </c>
      <c r="J96" s="264">
        <v>2772.6</v>
      </c>
      <c r="K96" s="265">
        <v>7069.6</v>
      </c>
      <c r="L96" s="254">
        <f>'Вед. 2017 (прил 4)'!N108</f>
        <v>48899.3</v>
      </c>
    </row>
    <row r="97" spans="1:12" ht="21" customHeight="1" thickBot="1" x14ac:dyDescent="0.25">
      <c r="A97" s="376" t="s">
        <v>523</v>
      </c>
      <c r="B97" s="377" t="s">
        <v>522</v>
      </c>
      <c r="C97" s="377"/>
      <c r="D97" s="377"/>
      <c r="E97" s="385"/>
      <c r="F97" s="386" t="e">
        <f>[2]роспись!H73</f>
        <v>#REF!</v>
      </c>
      <c r="G97" s="386">
        <v>480</v>
      </c>
      <c r="H97" s="386">
        <v>668</v>
      </c>
      <c r="I97" s="378" t="e">
        <f>I98</f>
        <v>#REF!</v>
      </c>
      <c r="J97" s="378" t="e">
        <f>J98</f>
        <v>#REF!</v>
      </c>
      <c r="K97" s="378" t="e">
        <f>K98</f>
        <v>#REF!</v>
      </c>
      <c r="L97" s="379">
        <f>L98</f>
        <v>60.4</v>
      </c>
    </row>
    <row r="98" spans="1:12" ht="24" x14ac:dyDescent="0.2">
      <c r="A98" s="387" t="s">
        <v>524</v>
      </c>
      <c r="B98" s="345" t="s">
        <v>522</v>
      </c>
      <c r="C98" s="346" t="s">
        <v>560</v>
      </c>
      <c r="D98" s="345"/>
      <c r="E98" s="345"/>
      <c r="F98" s="356">
        <f>F100</f>
        <v>204</v>
      </c>
      <c r="G98" s="356">
        <f>G100</f>
        <v>459.2</v>
      </c>
      <c r="H98" s="356">
        <f>H100</f>
        <v>796</v>
      </c>
      <c r="I98" s="348" t="e">
        <f>I100+I101</f>
        <v>#REF!</v>
      </c>
      <c r="J98" s="348" t="e">
        <f>J100+J101</f>
        <v>#REF!</v>
      </c>
      <c r="K98" s="348" t="e">
        <f>K100+K101</f>
        <v>#REF!</v>
      </c>
      <c r="L98" s="349">
        <f>L99</f>
        <v>60.4</v>
      </c>
    </row>
    <row r="99" spans="1:12" ht="29.25" customHeight="1" x14ac:dyDescent="0.2">
      <c r="A99" s="257" t="s">
        <v>349</v>
      </c>
      <c r="B99" s="249" t="s">
        <v>522</v>
      </c>
      <c r="C99" s="249" t="s">
        <v>560</v>
      </c>
      <c r="D99" s="249" t="s">
        <v>348</v>
      </c>
      <c r="E99" s="249"/>
      <c r="F99" s="250" t="e">
        <f>[2]роспись!H74</f>
        <v>#REF!</v>
      </c>
      <c r="G99" s="250">
        <v>459.2</v>
      </c>
      <c r="H99" s="250">
        <v>796</v>
      </c>
      <c r="I99" s="251">
        <f>6469.6+600</f>
        <v>7069.6</v>
      </c>
      <c r="J99" s="264">
        <v>2772.6</v>
      </c>
      <c r="K99" s="265">
        <v>7069.6</v>
      </c>
      <c r="L99" s="254">
        <f>L100</f>
        <v>60.4</v>
      </c>
    </row>
    <row r="100" spans="1:12" ht="27.75" customHeight="1" thickBot="1" x14ac:dyDescent="0.25">
      <c r="A100" s="248" t="s">
        <v>314</v>
      </c>
      <c r="B100" s="249" t="s">
        <v>522</v>
      </c>
      <c r="C100" s="249" t="s">
        <v>560</v>
      </c>
      <c r="D100" s="249" t="s">
        <v>256</v>
      </c>
      <c r="E100" s="249"/>
      <c r="F100" s="250">
        <f>[2]роспись!H75</f>
        <v>204</v>
      </c>
      <c r="G100" s="250">
        <v>459.2</v>
      </c>
      <c r="H100" s="250">
        <v>796</v>
      </c>
      <c r="I100" s="251">
        <f>6469.6+600</f>
        <v>7069.6</v>
      </c>
      <c r="J100" s="264">
        <v>2772.6</v>
      </c>
      <c r="K100" s="265">
        <v>7069.6</v>
      </c>
      <c r="L100" s="254">
        <f>'Вед. 2017 (прил 4)'!N112</f>
        <v>60.4</v>
      </c>
    </row>
    <row r="101" spans="1:12" ht="13.5" thickBot="1" x14ac:dyDescent="0.25">
      <c r="A101" s="376" t="s">
        <v>32</v>
      </c>
      <c r="B101" s="377" t="s">
        <v>33</v>
      </c>
      <c r="C101" s="377"/>
      <c r="D101" s="377"/>
      <c r="E101" s="249"/>
      <c r="F101" s="250" t="e">
        <f>#REF!+#REF!+#REF!</f>
        <v>#REF!</v>
      </c>
      <c r="G101" s="250" t="e">
        <f>#REF!+#REF!+#REF!</f>
        <v>#REF!</v>
      </c>
      <c r="H101" s="250" t="e">
        <f>#REF!+#REF!+#REF!</f>
        <v>#REF!</v>
      </c>
      <c r="I101" s="378" t="e">
        <f>#REF!+I107+I117+I127</f>
        <v>#REF!</v>
      </c>
      <c r="J101" s="378" t="e">
        <f>#REF!+J107+J117+J127</f>
        <v>#REF!</v>
      </c>
      <c r="K101" s="378" t="e">
        <f>#REF!+K107+K117+K127</f>
        <v>#REF!</v>
      </c>
      <c r="L101" s="379">
        <f>L102</f>
        <v>33364.199999999997</v>
      </c>
    </row>
    <row r="102" spans="1:12" ht="13.5" thickBot="1" x14ac:dyDescent="0.25">
      <c r="A102" s="394" t="s">
        <v>330</v>
      </c>
      <c r="B102" s="377" t="s">
        <v>80</v>
      </c>
      <c r="C102" s="377"/>
      <c r="D102" s="377"/>
      <c r="E102" s="377"/>
      <c r="F102" s="383"/>
      <c r="G102" s="383"/>
      <c r="H102" s="383"/>
      <c r="I102" s="378"/>
      <c r="J102" s="378"/>
      <c r="K102" s="378"/>
      <c r="L102" s="379">
        <f>L103+L107+L117+L127</f>
        <v>33364.199999999997</v>
      </c>
    </row>
    <row r="103" spans="1:12" ht="27.75" customHeight="1" thickBot="1" x14ac:dyDescent="0.25">
      <c r="A103" s="389" t="s">
        <v>446</v>
      </c>
      <c r="B103" s="377" t="s">
        <v>80</v>
      </c>
      <c r="C103" s="377" t="s">
        <v>562</v>
      </c>
      <c r="D103" s="377"/>
      <c r="E103" s="249"/>
      <c r="F103" s="250">
        <f>F104</f>
        <v>552.70000000000005</v>
      </c>
      <c r="G103" s="250">
        <f>G104</f>
        <v>79.8</v>
      </c>
      <c r="H103" s="250">
        <f>H104</f>
        <v>204</v>
      </c>
      <c r="I103" s="378" t="e">
        <f>I104+#REF!+#REF!</f>
        <v>#REF!</v>
      </c>
      <c r="J103" s="378" t="e">
        <f>J104+#REF!+#REF!</f>
        <v>#REF!</v>
      </c>
      <c r="K103" s="378" t="e">
        <f>K104+#REF!+#REF!</f>
        <v>#REF!</v>
      </c>
      <c r="L103" s="379">
        <f>L104</f>
        <v>5420.9</v>
      </c>
    </row>
    <row r="104" spans="1:12" ht="43.5" customHeight="1" x14ac:dyDescent="0.2">
      <c r="A104" s="391" t="s">
        <v>261</v>
      </c>
      <c r="B104" s="271" t="s">
        <v>80</v>
      </c>
      <c r="C104" s="418" t="s">
        <v>563</v>
      </c>
      <c r="D104" s="271"/>
      <c r="E104" s="249"/>
      <c r="F104" s="250">
        <f>[2]роспись!H84</f>
        <v>552.70000000000005</v>
      </c>
      <c r="G104" s="250">
        <v>79.8</v>
      </c>
      <c r="H104" s="250">
        <v>204</v>
      </c>
      <c r="I104" s="296">
        <f>I106</f>
        <v>411.1</v>
      </c>
      <c r="J104" s="296">
        <f>J106</f>
        <v>0</v>
      </c>
      <c r="K104" s="296">
        <f>K106</f>
        <v>411.1</v>
      </c>
      <c r="L104" s="254">
        <f>L105</f>
        <v>5420.9</v>
      </c>
    </row>
    <row r="105" spans="1:12" ht="33" customHeight="1" x14ac:dyDescent="0.2">
      <c r="A105" s="257" t="s">
        <v>349</v>
      </c>
      <c r="B105" s="249" t="s">
        <v>80</v>
      </c>
      <c r="C105" s="249" t="s">
        <v>563</v>
      </c>
      <c r="D105" s="249" t="s">
        <v>348</v>
      </c>
      <c r="E105" s="249"/>
      <c r="F105" s="250" t="e">
        <f t="shared" ref="F105:H105" si="10">F106</f>
        <v>#REF!</v>
      </c>
      <c r="G105" s="250" t="e">
        <f t="shared" si="10"/>
        <v>#REF!</v>
      </c>
      <c r="H105" s="250" t="e">
        <f t="shared" si="10"/>
        <v>#REF!</v>
      </c>
      <c r="I105" s="251">
        <v>411.1</v>
      </c>
      <c r="J105" s="252"/>
      <c r="K105" s="253">
        <v>411.1</v>
      </c>
      <c r="L105" s="254">
        <f>L106</f>
        <v>5420.9</v>
      </c>
    </row>
    <row r="106" spans="1:12" ht="27" customHeight="1" thickBot="1" x14ac:dyDescent="0.25">
      <c r="A106" s="248" t="s">
        <v>314</v>
      </c>
      <c r="B106" s="249" t="s">
        <v>80</v>
      </c>
      <c r="C106" s="249" t="s">
        <v>563</v>
      </c>
      <c r="D106" s="249" t="s">
        <v>256</v>
      </c>
      <c r="E106" s="249"/>
      <c r="F106" s="250" t="e">
        <f>#REF!</f>
        <v>#REF!</v>
      </c>
      <c r="G106" s="250" t="e">
        <f>#REF!</f>
        <v>#REF!</v>
      </c>
      <c r="H106" s="250" t="e">
        <f>#REF!</f>
        <v>#REF!</v>
      </c>
      <c r="I106" s="251">
        <v>411.1</v>
      </c>
      <c r="J106" s="252"/>
      <c r="K106" s="253">
        <v>411.1</v>
      </c>
      <c r="L106" s="254">
        <f>'Вед. 2017 (прил 4)'!N118</f>
        <v>5420.9</v>
      </c>
    </row>
    <row r="107" spans="1:12" ht="36.75" thickBot="1" x14ac:dyDescent="0.25">
      <c r="A107" s="389" t="s">
        <v>266</v>
      </c>
      <c r="B107" s="377" t="s">
        <v>80</v>
      </c>
      <c r="C107" s="377" t="s">
        <v>564</v>
      </c>
      <c r="D107" s="377"/>
      <c r="E107" s="385"/>
      <c r="F107" s="386">
        <f>F108</f>
        <v>1077.7</v>
      </c>
      <c r="G107" s="386">
        <f>G108</f>
        <v>566.29999999999995</v>
      </c>
      <c r="H107" s="386">
        <f>H108</f>
        <v>1077.7</v>
      </c>
      <c r="I107" s="378">
        <f>I108++I111+I114</f>
        <v>6501.6</v>
      </c>
      <c r="J107" s="378">
        <f>J108++J111+J114</f>
        <v>4178.7000000000007</v>
      </c>
      <c r="K107" s="378">
        <f>K108++K111+K114</f>
        <v>6501.6</v>
      </c>
      <c r="L107" s="379">
        <f>L108++L111+L114</f>
        <v>9091.4</v>
      </c>
    </row>
    <row r="108" spans="1:12" ht="17.25" customHeight="1" x14ac:dyDescent="0.2">
      <c r="A108" s="269" t="s">
        <v>267</v>
      </c>
      <c r="B108" s="270" t="s">
        <v>80</v>
      </c>
      <c r="C108" s="249" t="s">
        <v>565</v>
      </c>
      <c r="D108" s="270"/>
      <c r="E108" s="271"/>
      <c r="F108" s="271">
        <f t="shared" ref="F108:K108" si="11">F110</f>
        <v>1077.7</v>
      </c>
      <c r="G108" s="272">
        <f t="shared" si="11"/>
        <v>566.29999999999995</v>
      </c>
      <c r="H108" s="272">
        <f t="shared" si="11"/>
        <v>1077.7</v>
      </c>
      <c r="I108" s="273">
        <f t="shared" si="11"/>
        <v>1800</v>
      </c>
      <c r="J108" s="273">
        <f t="shared" si="11"/>
        <v>1632.4</v>
      </c>
      <c r="K108" s="273">
        <f t="shared" si="11"/>
        <v>1800</v>
      </c>
      <c r="L108" s="274">
        <f>L109</f>
        <v>550</v>
      </c>
    </row>
    <row r="109" spans="1:12" ht="29.25" customHeight="1" x14ac:dyDescent="0.2">
      <c r="A109" s="257" t="s">
        <v>349</v>
      </c>
      <c r="B109" s="255" t="s">
        <v>80</v>
      </c>
      <c r="C109" s="249" t="s">
        <v>565</v>
      </c>
      <c r="D109" s="255" t="s">
        <v>348</v>
      </c>
      <c r="E109" s="249"/>
      <c r="F109" s="249" t="e">
        <f>[2]роспись!H78</f>
        <v>#REF!</v>
      </c>
      <c r="G109" s="250">
        <v>566.29999999999995</v>
      </c>
      <c r="H109" s="250">
        <v>1077.7</v>
      </c>
      <c r="I109" s="267">
        <v>1800</v>
      </c>
      <c r="J109" s="252">
        <v>1632.4</v>
      </c>
      <c r="K109" s="253">
        <v>1800</v>
      </c>
      <c r="L109" s="254">
        <f>L110</f>
        <v>550</v>
      </c>
    </row>
    <row r="110" spans="1:12" ht="28.5" customHeight="1" x14ac:dyDescent="0.2">
      <c r="A110" s="248" t="s">
        <v>314</v>
      </c>
      <c r="B110" s="255" t="s">
        <v>80</v>
      </c>
      <c r="C110" s="271" t="s">
        <v>565</v>
      </c>
      <c r="D110" s="255" t="s">
        <v>256</v>
      </c>
      <c r="E110" s="249"/>
      <c r="F110" s="249">
        <f>[2]роспись!H79</f>
        <v>1077.7</v>
      </c>
      <c r="G110" s="250">
        <v>566.29999999999995</v>
      </c>
      <c r="H110" s="250">
        <v>1077.7</v>
      </c>
      <c r="I110" s="267">
        <v>1800</v>
      </c>
      <c r="J110" s="252">
        <v>1632.4</v>
      </c>
      <c r="K110" s="253">
        <v>1800</v>
      </c>
      <c r="L110" s="254">
        <f>'Вед. 2017 (прил 4)'!N122</f>
        <v>550</v>
      </c>
    </row>
    <row r="111" spans="1:12" ht="24" x14ac:dyDescent="0.2">
      <c r="A111" s="256" t="s">
        <v>81</v>
      </c>
      <c r="B111" s="255" t="s">
        <v>80</v>
      </c>
      <c r="C111" s="271" t="s">
        <v>566</v>
      </c>
      <c r="D111" s="255"/>
      <c r="E111" s="249"/>
      <c r="F111" s="250">
        <f>F117</f>
        <v>780.80000000000007</v>
      </c>
      <c r="G111" s="250">
        <f>G117</f>
        <v>457.5</v>
      </c>
      <c r="H111" s="250">
        <f>H117</f>
        <v>704.80000000000007</v>
      </c>
      <c r="I111" s="267">
        <f>I113</f>
        <v>1122</v>
      </c>
      <c r="J111" s="267">
        <f>J113</f>
        <v>475</v>
      </c>
      <c r="K111" s="267">
        <f>K113</f>
        <v>1122</v>
      </c>
      <c r="L111" s="276">
        <f>L112</f>
        <v>200</v>
      </c>
    </row>
    <row r="112" spans="1:12" ht="29.25" customHeight="1" x14ac:dyDescent="0.2">
      <c r="A112" s="257" t="s">
        <v>349</v>
      </c>
      <c r="B112" s="255" t="s">
        <v>80</v>
      </c>
      <c r="C112" s="271" t="s">
        <v>566</v>
      </c>
      <c r="D112" s="255" t="s">
        <v>348</v>
      </c>
      <c r="E112" s="249"/>
      <c r="F112" s="250">
        <f>F114</f>
        <v>0</v>
      </c>
      <c r="G112" s="250">
        <f>G114</f>
        <v>0</v>
      </c>
      <c r="H112" s="250">
        <f>H114</f>
        <v>0</v>
      </c>
      <c r="I112" s="267">
        <v>1122</v>
      </c>
      <c r="J112" s="267">
        <v>475</v>
      </c>
      <c r="K112" s="267">
        <v>1122</v>
      </c>
      <c r="L112" s="276">
        <f>L113</f>
        <v>200</v>
      </c>
    </row>
    <row r="113" spans="1:12" ht="25.5" customHeight="1" x14ac:dyDescent="0.2">
      <c r="A113" s="248" t="s">
        <v>314</v>
      </c>
      <c r="B113" s="255" t="s">
        <v>80</v>
      </c>
      <c r="C113" s="271" t="s">
        <v>566</v>
      </c>
      <c r="D113" s="255" t="s">
        <v>256</v>
      </c>
      <c r="E113" s="249"/>
      <c r="F113" s="250">
        <f>F116</f>
        <v>0</v>
      </c>
      <c r="G113" s="250">
        <f>G116</f>
        <v>0</v>
      </c>
      <c r="H113" s="250">
        <f>H116</f>
        <v>0</v>
      </c>
      <c r="I113" s="267">
        <v>1122</v>
      </c>
      <c r="J113" s="267">
        <v>475</v>
      </c>
      <c r="K113" s="267">
        <v>1122</v>
      </c>
      <c r="L113" s="276">
        <f>'Вед. 2017 (прил 4)'!N125</f>
        <v>200</v>
      </c>
    </row>
    <row r="114" spans="1:12" ht="21" customHeight="1" x14ac:dyDescent="0.2">
      <c r="A114" s="277" t="s">
        <v>268</v>
      </c>
      <c r="B114" s="255" t="s">
        <v>80</v>
      </c>
      <c r="C114" s="271" t="s">
        <v>567</v>
      </c>
      <c r="D114" s="255"/>
      <c r="E114" s="249"/>
      <c r="F114" s="250"/>
      <c r="G114" s="250"/>
      <c r="H114" s="250"/>
      <c r="I114" s="267">
        <f>I116</f>
        <v>3579.6</v>
      </c>
      <c r="J114" s="267">
        <f>J116</f>
        <v>2071.3000000000002</v>
      </c>
      <c r="K114" s="267">
        <f>K116</f>
        <v>3579.6</v>
      </c>
      <c r="L114" s="276">
        <f>L116</f>
        <v>8341.4</v>
      </c>
    </row>
    <row r="115" spans="1:12" ht="27" customHeight="1" x14ac:dyDescent="0.2">
      <c r="A115" s="257" t="s">
        <v>349</v>
      </c>
      <c r="B115" s="281" t="s">
        <v>80</v>
      </c>
      <c r="C115" s="271" t="s">
        <v>567</v>
      </c>
      <c r="D115" s="255" t="s">
        <v>348</v>
      </c>
      <c r="E115" s="282"/>
      <c r="F115" s="283"/>
      <c r="G115" s="284"/>
      <c r="H115" s="284"/>
      <c r="I115" s="285">
        <v>3579.6</v>
      </c>
      <c r="J115" s="252">
        <v>2071.3000000000002</v>
      </c>
      <c r="K115" s="253">
        <v>3579.6</v>
      </c>
      <c r="L115" s="254">
        <f>L116</f>
        <v>8341.4</v>
      </c>
    </row>
    <row r="116" spans="1:12" ht="24" customHeight="1" thickBot="1" x14ac:dyDescent="0.25">
      <c r="A116" s="248" t="s">
        <v>314</v>
      </c>
      <c r="B116" s="281" t="s">
        <v>80</v>
      </c>
      <c r="C116" s="421" t="s">
        <v>567</v>
      </c>
      <c r="D116" s="255" t="s">
        <v>256</v>
      </c>
      <c r="E116" s="282"/>
      <c r="F116" s="283"/>
      <c r="G116" s="284"/>
      <c r="H116" s="284"/>
      <c r="I116" s="285">
        <v>3579.6</v>
      </c>
      <c r="J116" s="252">
        <v>2071.3000000000002</v>
      </c>
      <c r="K116" s="253">
        <v>3579.6</v>
      </c>
      <c r="L116" s="254">
        <f>'Вед. 2017 (прил 4)'!N128</f>
        <v>8341.4</v>
      </c>
    </row>
    <row r="117" spans="1:12" ht="18.75" customHeight="1" thickBot="1" x14ac:dyDescent="0.25">
      <c r="A117" s="389" t="s">
        <v>269</v>
      </c>
      <c r="B117" s="419" t="s">
        <v>80</v>
      </c>
      <c r="C117" s="422" t="s">
        <v>571</v>
      </c>
      <c r="D117" s="420"/>
      <c r="E117" s="346"/>
      <c r="F117" s="347">
        <f>F118+F127</f>
        <v>780.80000000000007</v>
      </c>
      <c r="G117" s="347">
        <f>G118+G127</f>
        <v>457.5</v>
      </c>
      <c r="H117" s="347">
        <f>H118+H127</f>
        <v>704.80000000000007</v>
      </c>
      <c r="I117" s="378">
        <f>I118+I121</f>
        <v>571.6</v>
      </c>
      <c r="J117" s="378">
        <f>J118+J121</f>
        <v>100</v>
      </c>
      <c r="K117" s="378">
        <f>K118+K121</f>
        <v>571.6</v>
      </c>
      <c r="L117" s="379">
        <f>L118+L121+L124</f>
        <v>150</v>
      </c>
    </row>
    <row r="118" spans="1:12" ht="29.25" customHeight="1" x14ac:dyDescent="0.2">
      <c r="A118" s="287" t="s">
        <v>270</v>
      </c>
      <c r="B118" s="270" t="s">
        <v>80</v>
      </c>
      <c r="C118" s="271" t="s">
        <v>568</v>
      </c>
      <c r="D118" s="270"/>
      <c r="E118" s="249"/>
      <c r="F118" s="250">
        <f t="shared" ref="F118:L118" si="12">F120</f>
        <v>552.70000000000005</v>
      </c>
      <c r="G118" s="250">
        <f t="shared" si="12"/>
        <v>356.1</v>
      </c>
      <c r="H118" s="250">
        <f t="shared" si="12"/>
        <v>552.70000000000005</v>
      </c>
      <c r="I118" s="273">
        <f t="shared" si="12"/>
        <v>150</v>
      </c>
      <c r="J118" s="273">
        <f t="shared" si="12"/>
        <v>100</v>
      </c>
      <c r="K118" s="273">
        <f t="shared" si="12"/>
        <v>150</v>
      </c>
      <c r="L118" s="274">
        <f t="shared" si="12"/>
        <v>0</v>
      </c>
    </row>
    <row r="119" spans="1:12" ht="30" customHeight="1" x14ac:dyDescent="0.2">
      <c r="A119" s="257" t="s">
        <v>349</v>
      </c>
      <c r="B119" s="270" t="s">
        <v>80</v>
      </c>
      <c r="C119" s="271" t="s">
        <v>568</v>
      </c>
      <c r="D119" s="270" t="s">
        <v>348</v>
      </c>
      <c r="E119" s="249"/>
      <c r="F119" s="250" t="e">
        <f>[2]роспись!H83</f>
        <v>#REF!</v>
      </c>
      <c r="G119" s="250">
        <v>356.1</v>
      </c>
      <c r="H119" s="250">
        <v>552.70000000000005</v>
      </c>
      <c r="I119" s="273">
        <v>150</v>
      </c>
      <c r="J119" s="289">
        <v>100</v>
      </c>
      <c r="K119" s="290">
        <v>150</v>
      </c>
      <c r="L119" s="254">
        <f>L120</f>
        <v>0</v>
      </c>
    </row>
    <row r="120" spans="1:12" ht="32.25" customHeight="1" x14ac:dyDescent="0.2">
      <c r="A120" s="248" t="s">
        <v>314</v>
      </c>
      <c r="B120" s="270" t="s">
        <v>80</v>
      </c>
      <c r="C120" s="271" t="s">
        <v>568</v>
      </c>
      <c r="D120" s="270" t="s">
        <v>256</v>
      </c>
      <c r="E120" s="249"/>
      <c r="F120" s="250">
        <f>[2]роспись!H84</f>
        <v>552.70000000000005</v>
      </c>
      <c r="G120" s="250">
        <v>356.1</v>
      </c>
      <c r="H120" s="250">
        <v>552.70000000000005</v>
      </c>
      <c r="I120" s="273">
        <v>150</v>
      </c>
      <c r="J120" s="289">
        <v>100</v>
      </c>
      <c r="K120" s="290">
        <v>150</v>
      </c>
      <c r="L120" s="254">
        <f>'Вед. 2017 (прил 4)'!N132</f>
        <v>0</v>
      </c>
    </row>
    <row r="121" spans="1:12" ht="32.25" customHeight="1" x14ac:dyDescent="0.2">
      <c r="A121" s="292" t="s">
        <v>447</v>
      </c>
      <c r="B121" s="281" t="s">
        <v>80</v>
      </c>
      <c r="C121" s="271" t="s">
        <v>569</v>
      </c>
      <c r="D121" s="281"/>
      <c r="E121" s="249"/>
      <c r="F121" s="250"/>
      <c r="G121" s="250"/>
      <c r="H121" s="250"/>
      <c r="I121" s="285">
        <f>I123</f>
        <v>421.6</v>
      </c>
      <c r="J121" s="285">
        <f>J123</f>
        <v>0</v>
      </c>
      <c r="K121" s="285">
        <f>K123</f>
        <v>421.6</v>
      </c>
      <c r="L121" s="294">
        <f>L123</f>
        <v>100</v>
      </c>
    </row>
    <row r="122" spans="1:12" ht="29.25" customHeight="1" x14ac:dyDescent="0.2">
      <c r="A122" s="257" t="s">
        <v>349</v>
      </c>
      <c r="B122" s="281" t="s">
        <v>80</v>
      </c>
      <c r="C122" s="271" t="s">
        <v>569</v>
      </c>
      <c r="D122" s="281" t="s">
        <v>348</v>
      </c>
      <c r="E122" s="249"/>
      <c r="F122" s="250"/>
      <c r="G122" s="250"/>
      <c r="H122" s="250"/>
      <c r="I122" s="285">
        <v>421.6</v>
      </c>
      <c r="J122" s="295"/>
      <c r="K122" s="295">
        <v>421.6</v>
      </c>
      <c r="L122" s="254">
        <f>L123</f>
        <v>100</v>
      </c>
    </row>
    <row r="123" spans="1:12" ht="31.5" customHeight="1" x14ac:dyDescent="0.2">
      <c r="A123" s="248" t="s">
        <v>314</v>
      </c>
      <c r="B123" s="281" t="s">
        <v>80</v>
      </c>
      <c r="C123" s="271" t="s">
        <v>569</v>
      </c>
      <c r="D123" s="281" t="s">
        <v>256</v>
      </c>
      <c r="E123" s="249"/>
      <c r="F123" s="250"/>
      <c r="G123" s="250"/>
      <c r="H123" s="250"/>
      <c r="I123" s="285">
        <v>421.6</v>
      </c>
      <c r="J123" s="295"/>
      <c r="K123" s="295">
        <v>421.6</v>
      </c>
      <c r="L123" s="254">
        <f>'Вед. 2017 (прил 4)'!N135</f>
        <v>100</v>
      </c>
    </row>
    <row r="124" spans="1:12" ht="28.5" customHeight="1" x14ac:dyDescent="0.2">
      <c r="A124" s="292" t="s">
        <v>538</v>
      </c>
      <c r="B124" s="281" t="s">
        <v>80</v>
      </c>
      <c r="C124" s="271" t="s">
        <v>570</v>
      </c>
      <c r="D124" s="281"/>
      <c r="E124" s="249"/>
      <c r="F124" s="250"/>
      <c r="G124" s="250"/>
      <c r="H124" s="250"/>
      <c r="I124" s="285">
        <f>I126</f>
        <v>421.6</v>
      </c>
      <c r="J124" s="285">
        <f>J126</f>
        <v>0</v>
      </c>
      <c r="K124" s="285">
        <f>K126</f>
        <v>421.6</v>
      </c>
      <c r="L124" s="294">
        <f>L126</f>
        <v>50</v>
      </c>
    </row>
    <row r="125" spans="1:12" ht="27" customHeight="1" x14ac:dyDescent="0.2">
      <c r="A125" s="257" t="s">
        <v>349</v>
      </c>
      <c r="B125" s="281" t="s">
        <v>80</v>
      </c>
      <c r="C125" s="271" t="s">
        <v>570</v>
      </c>
      <c r="D125" s="281" t="s">
        <v>348</v>
      </c>
      <c r="E125" s="249"/>
      <c r="F125" s="250"/>
      <c r="G125" s="250"/>
      <c r="H125" s="250"/>
      <c r="I125" s="285">
        <v>421.6</v>
      </c>
      <c r="J125" s="295"/>
      <c r="K125" s="295">
        <v>421.6</v>
      </c>
      <c r="L125" s="254">
        <f>L126</f>
        <v>50</v>
      </c>
    </row>
    <row r="126" spans="1:12" ht="27" customHeight="1" thickBot="1" x14ac:dyDescent="0.25">
      <c r="A126" s="248" t="s">
        <v>314</v>
      </c>
      <c r="B126" s="281" t="s">
        <v>80</v>
      </c>
      <c r="C126" s="421" t="s">
        <v>570</v>
      </c>
      <c r="D126" s="281" t="s">
        <v>256</v>
      </c>
      <c r="E126" s="249"/>
      <c r="F126" s="250"/>
      <c r="G126" s="250"/>
      <c r="H126" s="250"/>
      <c r="I126" s="285">
        <v>421.6</v>
      </c>
      <c r="J126" s="295"/>
      <c r="K126" s="295">
        <v>421.6</v>
      </c>
      <c r="L126" s="254">
        <f>'Вед. 2017 (прил 4)'!N138</f>
        <v>50</v>
      </c>
    </row>
    <row r="127" spans="1:12" ht="13.5" thickBot="1" x14ac:dyDescent="0.25">
      <c r="A127" s="389" t="s">
        <v>271</v>
      </c>
      <c r="B127" s="377" t="s">
        <v>80</v>
      </c>
      <c r="C127" s="422" t="s">
        <v>575</v>
      </c>
      <c r="D127" s="377"/>
      <c r="E127" s="346"/>
      <c r="F127" s="347">
        <f>F128</f>
        <v>228.1</v>
      </c>
      <c r="G127" s="347">
        <f>G128</f>
        <v>101.4</v>
      </c>
      <c r="H127" s="347">
        <f>H128</f>
        <v>152.1</v>
      </c>
      <c r="I127" s="378">
        <f>I128+I131+I134</f>
        <v>5808.7999999999993</v>
      </c>
      <c r="J127" s="378">
        <f>J128+J131+J134</f>
        <v>3821.0000000000005</v>
      </c>
      <c r="K127" s="378">
        <f>K128+K131+K134</f>
        <v>5808.7999999999993</v>
      </c>
      <c r="L127" s="379">
        <f>L128+L131+L134+L137</f>
        <v>18701.899999999998</v>
      </c>
    </row>
    <row r="128" spans="1:12" ht="24" x14ac:dyDescent="0.2">
      <c r="A128" s="287" t="s">
        <v>448</v>
      </c>
      <c r="B128" s="270" t="s">
        <v>80</v>
      </c>
      <c r="C128" s="271" t="s">
        <v>572</v>
      </c>
      <c r="D128" s="270"/>
      <c r="E128" s="249"/>
      <c r="F128" s="250">
        <f>[2]роспись!H96</f>
        <v>228.1</v>
      </c>
      <c r="G128" s="250">
        <v>101.4</v>
      </c>
      <c r="H128" s="250">
        <v>152.1</v>
      </c>
      <c r="I128" s="296">
        <f>I130</f>
        <v>3232.7</v>
      </c>
      <c r="J128" s="296">
        <f>J130</f>
        <v>1940.7</v>
      </c>
      <c r="K128" s="296">
        <f>K130</f>
        <v>3232.7</v>
      </c>
      <c r="L128" s="297">
        <f>L130</f>
        <v>16814.5</v>
      </c>
    </row>
    <row r="129" spans="1:12" ht="22.5" customHeight="1" x14ac:dyDescent="0.2">
      <c r="A129" s="257" t="s">
        <v>349</v>
      </c>
      <c r="B129" s="255" t="s">
        <v>80</v>
      </c>
      <c r="C129" s="271" t="s">
        <v>572</v>
      </c>
      <c r="D129" s="255" t="s">
        <v>348</v>
      </c>
      <c r="E129" s="249"/>
      <c r="F129" s="250">
        <f t="shared" ref="F129:H130" si="13">F130</f>
        <v>400</v>
      </c>
      <c r="G129" s="250">
        <f t="shared" si="13"/>
        <v>220</v>
      </c>
      <c r="H129" s="250">
        <f t="shared" si="13"/>
        <v>400</v>
      </c>
      <c r="I129" s="251">
        <f>3844.9-612.2</f>
        <v>3232.7</v>
      </c>
      <c r="J129" s="251">
        <v>1940.7</v>
      </c>
      <c r="K129" s="251">
        <v>3232.7</v>
      </c>
      <c r="L129" s="254">
        <f>L130</f>
        <v>16814.5</v>
      </c>
    </row>
    <row r="130" spans="1:12" ht="26.25" customHeight="1" x14ac:dyDescent="0.2">
      <c r="A130" s="248" t="s">
        <v>314</v>
      </c>
      <c r="B130" s="255" t="s">
        <v>80</v>
      </c>
      <c r="C130" s="271" t="s">
        <v>572</v>
      </c>
      <c r="D130" s="255" t="s">
        <v>256</v>
      </c>
      <c r="E130" s="249"/>
      <c r="F130" s="250">
        <f t="shared" si="13"/>
        <v>400</v>
      </c>
      <c r="G130" s="250">
        <f t="shared" si="13"/>
        <v>220</v>
      </c>
      <c r="H130" s="250">
        <f t="shared" si="13"/>
        <v>400</v>
      </c>
      <c r="I130" s="251">
        <f>3844.9-612.2</f>
        <v>3232.7</v>
      </c>
      <c r="J130" s="251">
        <v>1940.7</v>
      </c>
      <c r="K130" s="251">
        <v>3232.7</v>
      </c>
      <c r="L130" s="254">
        <f>'Вед. 2017 (прил 4)'!N142</f>
        <v>16814.5</v>
      </c>
    </row>
    <row r="131" spans="1:12" ht="18" customHeight="1" x14ac:dyDescent="0.2">
      <c r="A131" s="257" t="s">
        <v>449</v>
      </c>
      <c r="B131" s="255" t="s">
        <v>80</v>
      </c>
      <c r="C131" s="271" t="s">
        <v>573</v>
      </c>
      <c r="D131" s="255"/>
      <c r="E131" s="249"/>
      <c r="F131" s="250">
        <f>F133</f>
        <v>400</v>
      </c>
      <c r="G131" s="250">
        <f t="shared" ref="G131:L131" si="14">G133</f>
        <v>220</v>
      </c>
      <c r="H131" s="250">
        <f t="shared" si="14"/>
        <v>400</v>
      </c>
      <c r="I131" s="251">
        <v>2076.1</v>
      </c>
      <c r="J131" s="250">
        <f t="shared" si="14"/>
        <v>1865.4</v>
      </c>
      <c r="K131" s="250">
        <f t="shared" si="14"/>
        <v>2076.1</v>
      </c>
      <c r="L131" s="254">
        <f t="shared" si="14"/>
        <v>793.6</v>
      </c>
    </row>
    <row r="132" spans="1:12" ht="26.25" customHeight="1" x14ac:dyDescent="0.2">
      <c r="A132" s="257" t="s">
        <v>349</v>
      </c>
      <c r="B132" s="255" t="s">
        <v>80</v>
      </c>
      <c r="C132" s="271" t="s">
        <v>573</v>
      </c>
      <c r="D132" s="255" t="s">
        <v>348</v>
      </c>
      <c r="E132" s="249"/>
      <c r="F132" s="250">
        <f t="shared" ref="F132:H133" si="15">F133</f>
        <v>400</v>
      </c>
      <c r="G132" s="250">
        <f t="shared" si="15"/>
        <v>220</v>
      </c>
      <c r="H132" s="250">
        <f t="shared" si="15"/>
        <v>400</v>
      </c>
      <c r="I132" s="251">
        <v>2076.1</v>
      </c>
      <c r="J132" s="251">
        <v>1865.4</v>
      </c>
      <c r="K132" s="251">
        <v>2076.1</v>
      </c>
      <c r="L132" s="254">
        <f>L133</f>
        <v>793.6</v>
      </c>
    </row>
    <row r="133" spans="1:12" ht="27" customHeight="1" x14ac:dyDescent="0.2">
      <c r="A133" s="248" t="s">
        <v>314</v>
      </c>
      <c r="B133" s="255" t="s">
        <v>80</v>
      </c>
      <c r="C133" s="271" t="s">
        <v>573</v>
      </c>
      <c r="D133" s="255" t="s">
        <v>256</v>
      </c>
      <c r="E133" s="249"/>
      <c r="F133" s="250">
        <f t="shared" si="15"/>
        <v>400</v>
      </c>
      <c r="G133" s="250">
        <f t="shared" si="15"/>
        <v>220</v>
      </c>
      <c r="H133" s="250">
        <f t="shared" si="15"/>
        <v>400</v>
      </c>
      <c r="I133" s="251">
        <v>2076.1</v>
      </c>
      <c r="J133" s="251">
        <v>1865.4</v>
      </c>
      <c r="K133" s="251">
        <v>2076.1</v>
      </c>
      <c r="L133" s="254">
        <f>'Вед. 2017 (прил 4)'!N145</f>
        <v>793.6</v>
      </c>
    </row>
    <row r="134" spans="1:12" ht="21" customHeight="1" x14ac:dyDescent="0.2">
      <c r="A134" s="257" t="s">
        <v>82</v>
      </c>
      <c r="B134" s="255" t="s">
        <v>80</v>
      </c>
      <c r="C134" s="271" t="s">
        <v>574</v>
      </c>
      <c r="D134" s="255"/>
      <c r="E134" s="249"/>
      <c r="F134" s="250">
        <v>400</v>
      </c>
      <c r="G134" s="250">
        <v>220</v>
      </c>
      <c r="H134" s="250">
        <v>400</v>
      </c>
      <c r="I134" s="251">
        <f>I136</f>
        <v>500</v>
      </c>
      <c r="J134" s="251">
        <f>J136</f>
        <v>14.9</v>
      </c>
      <c r="K134" s="251">
        <f>K136</f>
        <v>500</v>
      </c>
      <c r="L134" s="254">
        <f>L136</f>
        <v>700</v>
      </c>
    </row>
    <row r="135" spans="1:12" ht="24.75" customHeight="1" x14ac:dyDescent="0.2">
      <c r="A135" s="257" t="s">
        <v>349</v>
      </c>
      <c r="B135" s="281" t="s">
        <v>80</v>
      </c>
      <c r="C135" s="271" t="s">
        <v>574</v>
      </c>
      <c r="D135" s="255" t="s">
        <v>348</v>
      </c>
      <c r="E135" s="249"/>
      <c r="F135" s="250" t="e">
        <f t="shared" ref="F135:H136" si="16">F144</f>
        <v>#REF!</v>
      </c>
      <c r="G135" s="250" t="e">
        <f t="shared" si="16"/>
        <v>#REF!</v>
      </c>
      <c r="H135" s="250" t="e">
        <f t="shared" si="16"/>
        <v>#REF!</v>
      </c>
      <c r="I135" s="298">
        <v>500</v>
      </c>
      <c r="J135" s="298">
        <v>14.9</v>
      </c>
      <c r="K135" s="298">
        <v>500</v>
      </c>
      <c r="L135" s="299">
        <f>L136</f>
        <v>700</v>
      </c>
    </row>
    <row r="136" spans="1:12" ht="27" customHeight="1" x14ac:dyDescent="0.2">
      <c r="A136" s="248" t="s">
        <v>314</v>
      </c>
      <c r="B136" s="255" t="s">
        <v>80</v>
      </c>
      <c r="C136" s="249" t="s">
        <v>574</v>
      </c>
      <c r="D136" s="255" t="s">
        <v>256</v>
      </c>
      <c r="E136" s="249"/>
      <c r="F136" s="250" t="e">
        <f t="shared" si="16"/>
        <v>#REF!</v>
      </c>
      <c r="G136" s="250" t="e">
        <f t="shared" si="16"/>
        <v>#REF!</v>
      </c>
      <c r="H136" s="250" t="e">
        <f t="shared" si="16"/>
        <v>#REF!</v>
      </c>
      <c r="I136" s="250">
        <v>500</v>
      </c>
      <c r="J136" s="250">
        <v>14.9</v>
      </c>
      <c r="K136" s="250">
        <v>500</v>
      </c>
      <c r="L136" s="414">
        <f>'Вед. 2017 (прил 4)'!N148</f>
        <v>700</v>
      </c>
    </row>
    <row r="137" spans="1:12" ht="24" x14ac:dyDescent="0.2">
      <c r="A137" s="499" t="s">
        <v>648</v>
      </c>
      <c r="B137" s="255" t="s">
        <v>80</v>
      </c>
      <c r="C137" s="249" t="s">
        <v>639</v>
      </c>
      <c r="D137" s="255"/>
      <c r="E137" s="501"/>
      <c r="F137" s="250"/>
      <c r="G137" s="250"/>
      <c r="H137" s="250"/>
      <c r="I137" s="250"/>
      <c r="J137" s="250"/>
      <c r="K137" s="250"/>
      <c r="L137" s="494">
        <f>L138</f>
        <v>393.8</v>
      </c>
    </row>
    <row r="138" spans="1:12" ht="27" customHeight="1" x14ac:dyDescent="0.2">
      <c r="A138" s="503" t="s">
        <v>349</v>
      </c>
      <c r="B138" s="255" t="s">
        <v>80</v>
      </c>
      <c r="C138" s="249" t="s">
        <v>639</v>
      </c>
      <c r="D138" s="255" t="s">
        <v>348</v>
      </c>
      <c r="E138" s="506" t="s">
        <v>348</v>
      </c>
      <c r="F138" s="250"/>
      <c r="G138" s="250"/>
      <c r="H138" s="250"/>
      <c r="I138" s="250"/>
      <c r="J138" s="250"/>
      <c r="K138" s="250"/>
      <c r="L138" s="414">
        <f>L139</f>
        <v>393.8</v>
      </c>
    </row>
    <row r="139" spans="1:12" ht="27" customHeight="1" x14ac:dyDescent="0.2">
      <c r="A139" s="248" t="s">
        <v>314</v>
      </c>
      <c r="B139" s="255" t="s">
        <v>80</v>
      </c>
      <c r="C139" s="249" t="s">
        <v>639</v>
      </c>
      <c r="D139" s="255" t="s">
        <v>256</v>
      </c>
      <c r="E139" s="506" t="s">
        <v>256</v>
      </c>
      <c r="F139" s="250"/>
      <c r="G139" s="250"/>
      <c r="H139" s="250"/>
      <c r="I139" s="250"/>
      <c r="J139" s="250"/>
      <c r="K139" s="250"/>
      <c r="L139" s="414">
        <f>'Вед. 2017 (прил 4)'!N151</f>
        <v>393.8</v>
      </c>
    </row>
    <row r="140" spans="1:12" ht="13.5" thickBot="1" x14ac:dyDescent="0.25">
      <c r="A140" s="488" t="s">
        <v>34</v>
      </c>
      <c r="B140" s="489" t="s">
        <v>22</v>
      </c>
      <c r="C140" s="489"/>
      <c r="D140" s="489"/>
      <c r="E140" s="345"/>
      <c r="F140" s="356" t="e">
        <f t="shared" ref="F140:K140" si="17">F145</f>
        <v>#REF!</v>
      </c>
      <c r="G140" s="356" t="e">
        <f t="shared" si="17"/>
        <v>#REF!</v>
      </c>
      <c r="H140" s="356" t="e">
        <f t="shared" si="17"/>
        <v>#REF!</v>
      </c>
      <c r="I140" s="490" t="e">
        <f t="shared" si="17"/>
        <v>#REF!</v>
      </c>
      <c r="J140" s="490" t="e">
        <f t="shared" si="17"/>
        <v>#REF!</v>
      </c>
      <c r="K140" s="490" t="e">
        <f t="shared" si="17"/>
        <v>#REF!</v>
      </c>
      <c r="L140" s="491">
        <f>L145+L141</f>
        <v>156.80000000000001</v>
      </c>
    </row>
    <row r="141" spans="1:12" ht="30" customHeight="1" x14ac:dyDescent="0.2">
      <c r="A141" s="381" t="s">
        <v>338</v>
      </c>
      <c r="B141" s="345" t="s">
        <v>337</v>
      </c>
      <c r="C141" s="345"/>
      <c r="D141" s="345"/>
      <c r="E141" s="346"/>
      <c r="F141" s="347" t="e">
        <f>F145</f>
        <v>#REF!</v>
      </c>
      <c r="G141" s="347" t="e">
        <f>G145</f>
        <v>#REF!</v>
      </c>
      <c r="H141" s="347" t="e">
        <f>H145</f>
        <v>#REF!</v>
      </c>
      <c r="I141" s="348" t="e">
        <f>I145+#REF!+#REF!</f>
        <v>#REF!</v>
      </c>
      <c r="J141" s="348" t="e">
        <f>J145+#REF!+#REF!</f>
        <v>#REF!</v>
      </c>
      <c r="K141" s="348" t="e">
        <f>K145+#REF!+#REF!</f>
        <v>#REF!</v>
      </c>
      <c r="L141" s="349">
        <f>L142</f>
        <v>61.8</v>
      </c>
    </row>
    <row r="142" spans="1:12" ht="84" customHeight="1" x14ac:dyDescent="0.2">
      <c r="A142" s="358" t="s">
        <v>445</v>
      </c>
      <c r="B142" s="346" t="s">
        <v>337</v>
      </c>
      <c r="C142" s="346" t="s">
        <v>576</v>
      </c>
      <c r="D142" s="346"/>
      <c r="E142" s="346"/>
      <c r="F142" s="347" t="e">
        <f>[2]роспись!H101</f>
        <v>#REF!</v>
      </c>
      <c r="G142" s="347">
        <v>309.39999999999998</v>
      </c>
      <c r="H142" s="347">
        <v>500</v>
      </c>
      <c r="I142" s="352" t="e">
        <f>I145</f>
        <v>#REF!</v>
      </c>
      <c r="J142" s="352" t="e">
        <f>J145</f>
        <v>#REF!</v>
      </c>
      <c r="K142" s="352" t="e">
        <f>K145</f>
        <v>#REF!</v>
      </c>
      <c r="L142" s="353">
        <f>L144</f>
        <v>61.8</v>
      </c>
    </row>
    <row r="143" spans="1:12" ht="25.5" customHeight="1" x14ac:dyDescent="0.2">
      <c r="A143" s="257" t="s">
        <v>349</v>
      </c>
      <c r="B143" s="249" t="s">
        <v>337</v>
      </c>
      <c r="C143" s="249" t="s">
        <v>576</v>
      </c>
      <c r="D143" s="249" t="s">
        <v>348</v>
      </c>
      <c r="E143" s="258"/>
      <c r="F143" s="260" t="e">
        <f>F5+#REF!</f>
        <v>#REF!</v>
      </c>
      <c r="G143" s="260" t="e">
        <f>G5+#REF!</f>
        <v>#REF!</v>
      </c>
      <c r="H143" s="260" t="e">
        <f>H5+#REF!</f>
        <v>#REF!</v>
      </c>
      <c r="I143" s="251">
        <v>299</v>
      </c>
      <c r="J143" s="251">
        <v>243.6</v>
      </c>
      <c r="K143" s="251">
        <v>299</v>
      </c>
      <c r="L143" s="299">
        <f>L144</f>
        <v>61.8</v>
      </c>
    </row>
    <row r="144" spans="1:12" ht="26.25" customHeight="1" x14ac:dyDescent="0.2">
      <c r="A144" s="248" t="s">
        <v>314</v>
      </c>
      <c r="B144" s="249" t="s">
        <v>337</v>
      </c>
      <c r="C144" s="249" t="s">
        <v>576</v>
      </c>
      <c r="D144" s="249" t="s">
        <v>256</v>
      </c>
      <c r="E144" s="258"/>
      <c r="F144" s="260" t="e">
        <f>F6+#REF!</f>
        <v>#REF!</v>
      </c>
      <c r="G144" s="260" t="e">
        <f>G6+#REF!</f>
        <v>#REF!</v>
      </c>
      <c r="H144" s="260" t="e">
        <f>H6+#REF!</f>
        <v>#REF!</v>
      </c>
      <c r="I144" s="251">
        <v>299</v>
      </c>
      <c r="J144" s="251">
        <v>243.6</v>
      </c>
      <c r="K144" s="251">
        <v>299</v>
      </c>
      <c r="L144" s="299">
        <f>'Вед. 2017 (прил 4)'!N156</f>
        <v>61.8</v>
      </c>
    </row>
    <row r="145" spans="1:12" ht="18.75" customHeight="1" x14ac:dyDescent="0.2">
      <c r="A145" s="381" t="s">
        <v>612</v>
      </c>
      <c r="B145" s="345" t="s">
        <v>23</v>
      </c>
      <c r="C145" s="345"/>
      <c r="D145" s="346"/>
      <c r="E145" s="346"/>
      <c r="F145" s="347" t="e">
        <f>#REF!</f>
        <v>#REF!</v>
      </c>
      <c r="G145" s="347" t="e">
        <f>#REF!</f>
        <v>#REF!</v>
      </c>
      <c r="H145" s="347" t="e">
        <f>#REF!</f>
        <v>#REF!</v>
      </c>
      <c r="I145" s="348" t="e">
        <f>#REF!+#REF!+I146</f>
        <v>#REF!</v>
      </c>
      <c r="J145" s="348" t="e">
        <f>#REF!+#REF!+J146</f>
        <v>#REF!</v>
      </c>
      <c r="K145" s="348" t="e">
        <f>#REF!+#REF!+K146</f>
        <v>#REF!</v>
      </c>
      <c r="L145" s="395">
        <f>L146</f>
        <v>95</v>
      </c>
    </row>
    <row r="146" spans="1:12" ht="50.25" customHeight="1" x14ac:dyDescent="0.2">
      <c r="A146" s="396" t="s">
        <v>450</v>
      </c>
      <c r="B146" s="346" t="s">
        <v>23</v>
      </c>
      <c r="C146" s="346" t="s">
        <v>597</v>
      </c>
      <c r="D146" s="346"/>
      <c r="E146" s="397"/>
      <c r="F146" s="398"/>
      <c r="G146" s="399"/>
      <c r="H146" s="399"/>
      <c r="I146" s="352">
        <f>I148</f>
        <v>120</v>
      </c>
      <c r="J146" s="352">
        <f>J148</f>
        <v>100</v>
      </c>
      <c r="K146" s="352">
        <f>K148</f>
        <v>120</v>
      </c>
      <c r="L146" s="353">
        <f>L148</f>
        <v>95</v>
      </c>
    </row>
    <row r="147" spans="1:12" ht="32.25" customHeight="1" x14ac:dyDescent="0.2">
      <c r="A147" s="257" t="s">
        <v>349</v>
      </c>
      <c r="B147" s="282" t="s">
        <v>23</v>
      </c>
      <c r="C147" s="249" t="s">
        <v>597</v>
      </c>
      <c r="D147" s="249" t="s">
        <v>348</v>
      </c>
      <c r="E147" s="301"/>
      <c r="F147" s="302"/>
      <c r="G147" s="303"/>
      <c r="H147" s="303"/>
      <c r="I147" s="298">
        <v>120</v>
      </c>
      <c r="J147" s="298">
        <v>100</v>
      </c>
      <c r="K147" s="298">
        <v>120</v>
      </c>
      <c r="L147" s="299">
        <f>L148</f>
        <v>95</v>
      </c>
    </row>
    <row r="148" spans="1:12" ht="27.75" customHeight="1" thickBot="1" x14ac:dyDescent="0.25">
      <c r="A148" s="248" t="s">
        <v>314</v>
      </c>
      <c r="B148" s="282" t="s">
        <v>23</v>
      </c>
      <c r="C148" s="249" t="s">
        <v>597</v>
      </c>
      <c r="D148" s="249" t="s">
        <v>256</v>
      </c>
      <c r="E148" s="301"/>
      <c r="F148" s="302"/>
      <c r="G148" s="303"/>
      <c r="H148" s="303"/>
      <c r="I148" s="298">
        <v>120</v>
      </c>
      <c r="J148" s="298">
        <v>100</v>
      </c>
      <c r="K148" s="298">
        <v>120</v>
      </c>
      <c r="L148" s="299">
        <f>'Вед. 2017 (прил 4)'!N160</f>
        <v>95</v>
      </c>
    </row>
    <row r="149" spans="1:12" ht="13.5" thickBot="1" x14ac:dyDescent="0.25">
      <c r="A149" s="376" t="s">
        <v>208</v>
      </c>
      <c r="B149" s="377" t="s">
        <v>24</v>
      </c>
      <c r="C149" s="377"/>
      <c r="D149" s="377"/>
      <c r="E149" s="301"/>
      <c r="F149" s="302"/>
      <c r="G149" s="303"/>
      <c r="H149" s="303"/>
      <c r="I149" s="378">
        <f>I150</f>
        <v>2689</v>
      </c>
      <c r="J149" s="378">
        <f>J150</f>
        <v>1456</v>
      </c>
      <c r="K149" s="378">
        <f>K150</f>
        <v>2689</v>
      </c>
      <c r="L149" s="379">
        <f>L150+L154</f>
        <v>5109</v>
      </c>
    </row>
    <row r="150" spans="1:12" x14ac:dyDescent="0.2">
      <c r="A150" s="381" t="s">
        <v>38</v>
      </c>
      <c r="B150" s="345" t="s">
        <v>39</v>
      </c>
      <c r="C150" s="345"/>
      <c r="D150" s="345"/>
      <c r="E150" s="397"/>
      <c r="F150" s="398"/>
      <c r="G150" s="399"/>
      <c r="H150" s="399"/>
      <c r="I150" s="348">
        <f>I151+I154</f>
        <v>2689</v>
      </c>
      <c r="J150" s="348">
        <f>J151+J154</f>
        <v>1456</v>
      </c>
      <c r="K150" s="348">
        <f>K151+K154</f>
        <v>2689</v>
      </c>
      <c r="L150" s="349">
        <f>L151</f>
        <v>4050</v>
      </c>
    </row>
    <row r="151" spans="1:12" ht="62.25" customHeight="1" x14ac:dyDescent="0.2">
      <c r="A151" s="358" t="s">
        <v>451</v>
      </c>
      <c r="B151" s="346" t="s">
        <v>39</v>
      </c>
      <c r="C151" s="346" t="s">
        <v>577</v>
      </c>
      <c r="D151" s="346"/>
      <c r="E151" s="397"/>
      <c r="F151" s="398"/>
      <c r="G151" s="399"/>
      <c r="H151" s="399"/>
      <c r="I151" s="352">
        <f>I153</f>
        <v>1918</v>
      </c>
      <c r="J151" s="352">
        <f>J153</f>
        <v>1097.9000000000001</v>
      </c>
      <c r="K151" s="352">
        <f>K153</f>
        <v>1918</v>
      </c>
      <c r="L151" s="353">
        <f>L153</f>
        <v>4050</v>
      </c>
    </row>
    <row r="152" spans="1:12" ht="31.5" customHeight="1" x14ac:dyDescent="0.2">
      <c r="A152" s="257" t="s">
        <v>349</v>
      </c>
      <c r="B152" s="249" t="s">
        <v>39</v>
      </c>
      <c r="C152" s="249" t="s">
        <v>577</v>
      </c>
      <c r="D152" s="249" t="s">
        <v>348</v>
      </c>
      <c r="E152" s="301"/>
      <c r="F152" s="302"/>
      <c r="G152" s="303"/>
      <c r="H152" s="303"/>
      <c r="I152" s="251">
        <f>1909+9</f>
        <v>1918</v>
      </c>
      <c r="J152" s="251">
        <v>1097.9000000000001</v>
      </c>
      <c r="K152" s="251">
        <v>1918</v>
      </c>
      <c r="L152" s="299">
        <f>L153</f>
        <v>4050</v>
      </c>
    </row>
    <row r="153" spans="1:12" ht="25.5" customHeight="1" x14ac:dyDescent="0.2">
      <c r="A153" s="248" t="s">
        <v>314</v>
      </c>
      <c r="B153" s="249" t="s">
        <v>39</v>
      </c>
      <c r="C153" s="249" t="s">
        <v>577</v>
      </c>
      <c r="D153" s="249" t="s">
        <v>256</v>
      </c>
      <c r="E153" s="301"/>
      <c r="F153" s="302"/>
      <c r="G153" s="303"/>
      <c r="H153" s="303"/>
      <c r="I153" s="251">
        <f>1909+9</f>
        <v>1918</v>
      </c>
      <c r="J153" s="251">
        <v>1097.9000000000001</v>
      </c>
      <c r="K153" s="251">
        <v>1918</v>
      </c>
      <c r="L153" s="299">
        <f>'Вед. 2017 (прил 4)'!N165</f>
        <v>4050</v>
      </c>
    </row>
    <row r="154" spans="1:12" ht="15.75" customHeight="1" x14ac:dyDescent="0.2">
      <c r="A154" s="396" t="s">
        <v>318</v>
      </c>
      <c r="B154" s="346" t="s">
        <v>273</v>
      </c>
      <c r="C154" s="346"/>
      <c r="D154" s="346"/>
      <c r="E154" s="397"/>
      <c r="F154" s="398"/>
      <c r="G154" s="399"/>
      <c r="H154" s="399"/>
      <c r="I154" s="352">
        <f>I157</f>
        <v>771</v>
      </c>
      <c r="J154" s="352">
        <f>J157</f>
        <v>358.1</v>
      </c>
      <c r="K154" s="352">
        <f>K157</f>
        <v>771</v>
      </c>
      <c r="L154" s="353">
        <f>L157</f>
        <v>1059</v>
      </c>
    </row>
    <row r="155" spans="1:12" ht="27" customHeight="1" x14ac:dyDescent="0.2">
      <c r="A155" s="401" t="s">
        <v>452</v>
      </c>
      <c r="B155" s="393" t="s">
        <v>273</v>
      </c>
      <c r="C155" s="346" t="s">
        <v>578</v>
      </c>
      <c r="D155" s="393"/>
      <c r="E155" s="397"/>
      <c r="F155" s="398"/>
      <c r="G155" s="399"/>
      <c r="H155" s="399"/>
      <c r="I155" s="402"/>
      <c r="J155" s="402"/>
      <c r="K155" s="402"/>
      <c r="L155" s="403">
        <f>L157</f>
        <v>1059</v>
      </c>
    </row>
    <row r="156" spans="1:12" ht="30" customHeight="1" x14ac:dyDescent="0.2">
      <c r="A156" s="257" t="s">
        <v>349</v>
      </c>
      <c r="B156" s="282" t="s">
        <v>273</v>
      </c>
      <c r="C156" s="249" t="s">
        <v>578</v>
      </c>
      <c r="D156" s="249" t="s">
        <v>348</v>
      </c>
      <c r="E156" s="301"/>
      <c r="F156" s="302"/>
      <c r="G156" s="303"/>
      <c r="H156" s="303"/>
      <c r="I156" s="298">
        <f>736+35</f>
        <v>771</v>
      </c>
      <c r="J156" s="298">
        <v>358.1</v>
      </c>
      <c r="K156" s="298">
        <v>771</v>
      </c>
      <c r="L156" s="299">
        <f>L157</f>
        <v>1059</v>
      </c>
    </row>
    <row r="157" spans="1:12" ht="27" customHeight="1" thickBot="1" x14ac:dyDescent="0.25">
      <c r="A157" s="248" t="s">
        <v>314</v>
      </c>
      <c r="B157" s="282" t="s">
        <v>273</v>
      </c>
      <c r="C157" s="249" t="s">
        <v>578</v>
      </c>
      <c r="D157" s="249" t="s">
        <v>256</v>
      </c>
      <c r="E157" s="301"/>
      <c r="F157" s="302"/>
      <c r="G157" s="303"/>
      <c r="H157" s="303"/>
      <c r="I157" s="298">
        <f>736+35</f>
        <v>771</v>
      </c>
      <c r="J157" s="298">
        <v>358.1</v>
      </c>
      <c r="K157" s="298">
        <v>771</v>
      </c>
      <c r="L157" s="299">
        <f>'Вед. 2017 (прил 4)'!N169</f>
        <v>1059</v>
      </c>
    </row>
    <row r="158" spans="1:12" x14ac:dyDescent="0.2">
      <c r="A158" s="514" t="s">
        <v>35</v>
      </c>
      <c r="B158" s="515">
        <v>1000</v>
      </c>
      <c r="C158" s="515"/>
      <c r="D158" s="515"/>
      <c r="E158" s="301"/>
      <c r="F158" s="302"/>
      <c r="G158" s="303"/>
      <c r="H158" s="303"/>
      <c r="I158" s="516" t="e">
        <f>I166+I159</f>
        <v>#REF!</v>
      </c>
      <c r="J158" s="516" t="e">
        <f>J166+J159</f>
        <v>#REF!</v>
      </c>
      <c r="K158" s="516" t="e">
        <f>K166+K159</f>
        <v>#REF!</v>
      </c>
      <c r="L158" s="517">
        <f>L160+L163+L166</f>
        <v>1548.1999999999998</v>
      </c>
    </row>
    <row r="159" spans="1:12" ht="20.25" customHeight="1" x14ac:dyDescent="0.2">
      <c r="A159" s="351" t="s">
        <v>221</v>
      </c>
      <c r="B159" s="346" t="s">
        <v>220</v>
      </c>
      <c r="C159" s="346"/>
      <c r="D159" s="346"/>
      <c r="E159" s="520"/>
      <c r="F159" s="521"/>
      <c r="G159" s="522"/>
      <c r="H159" s="522"/>
      <c r="I159" s="347">
        <f>I163</f>
        <v>172.4</v>
      </c>
      <c r="J159" s="347">
        <f>J163</f>
        <v>114.9</v>
      </c>
      <c r="K159" s="347">
        <f>K163</f>
        <v>172.4</v>
      </c>
      <c r="L159" s="353">
        <f>L163+L161</f>
        <v>550.4</v>
      </c>
    </row>
    <row r="160" spans="1:12" ht="34.5" customHeight="1" x14ac:dyDescent="0.2">
      <c r="A160" s="351" t="s">
        <v>656</v>
      </c>
      <c r="B160" s="346" t="s">
        <v>220</v>
      </c>
      <c r="C160" s="346" t="s">
        <v>657</v>
      </c>
      <c r="D160" s="346"/>
      <c r="E160" s="520"/>
      <c r="F160" s="521"/>
      <c r="G160" s="522"/>
      <c r="H160" s="522"/>
      <c r="I160" s="347"/>
      <c r="J160" s="347"/>
      <c r="K160" s="347"/>
      <c r="L160" s="353">
        <f>L161</f>
        <v>300</v>
      </c>
    </row>
    <row r="161" spans="1:12" ht="15.75" customHeight="1" x14ac:dyDescent="0.2">
      <c r="A161" s="351" t="s">
        <v>662</v>
      </c>
      <c r="B161" s="249" t="s">
        <v>220</v>
      </c>
      <c r="C161" s="249" t="s">
        <v>657</v>
      </c>
      <c r="D161" s="249" t="s">
        <v>357</v>
      </c>
      <c r="E161" s="520"/>
      <c r="F161" s="521"/>
      <c r="G161" s="522"/>
      <c r="H161" s="522"/>
      <c r="I161" s="250"/>
      <c r="J161" s="250"/>
      <c r="K161" s="250"/>
      <c r="L161" s="254">
        <f>L162</f>
        <v>300</v>
      </c>
    </row>
    <row r="162" spans="1:12" ht="24" x14ac:dyDescent="0.2">
      <c r="A162" s="248" t="s">
        <v>656</v>
      </c>
      <c r="B162" s="249" t="s">
        <v>220</v>
      </c>
      <c r="C162" s="249" t="s">
        <v>657</v>
      </c>
      <c r="D162" s="249" t="s">
        <v>658</v>
      </c>
      <c r="E162" s="520"/>
      <c r="F162" s="521"/>
      <c r="G162" s="522"/>
      <c r="H162" s="522"/>
      <c r="I162" s="250"/>
      <c r="J162" s="250"/>
      <c r="K162" s="250"/>
      <c r="L162" s="254">
        <f>'Вед. 2017 (прил 4)'!N173</f>
        <v>300</v>
      </c>
    </row>
    <row r="163" spans="1:12" ht="42.75" customHeight="1" x14ac:dyDescent="0.2">
      <c r="A163" s="518" t="s">
        <v>222</v>
      </c>
      <c r="B163" s="519" t="s">
        <v>220</v>
      </c>
      <c r="C163" s="512" t="s">
        <v>579</v>
      </c>
      <c r="D163" s="519"/>
      <c r="E163" s="397"/>
      <c r="F163" s="398"/>
      <c r="G163" s="399"/>
      <c r="H163" s="399"/>
      <c r="I163" s="348">
        <f>I165</f>
        <v>172.4</v>
      </c>
      <c r="J163" s="348">
        <f>J165</f>
        <v>114.9</v>
      </c>
      <c r="K163" s="348">
        <f>K165</f>
        <v>172.4</v>
      </c>
      <c r="L163" s="349">
        <f>L165</f>
        <v>250.4</v>
      </c>
    </row>
    <row r="164" spans="1:12" ht="19.5" customHeight="1" x14ac:dyDescent="0.2">
      <c r="A164" s="292" t="s">
        <v>359</v>
      </c>
      <c r="B164" s="281" t="s">
        <v>220</v>
      </c>
      <c r="C164" s="282" t="s">
        <v>579</v>
      </c>
      <c r="D164" s="281" t="s">
        <v>357</v>
      </c>
      <c r="E164" s="301"/>
      <c r="F164" s="302"/>
      <c r="G164" s="303"/>
      <c r="H164" s="303"/>
      <c r="I164" s="251">
        <v>172.4</v>
      </c>
      <c r="J164" s="251">
        <v>114.9</v>
      </c>
      <c r="K164" s="251">
        <v>172.4</v>
      </c>
      <c r="L164" s="254">
        <f>L165</f>
        <v>250.4</v>
      </c>
    </row>
    <row r="165" spans="1:12" ht="20.25" customHeight="1" x14ac:dyDescent="0.2">
      <c r="A165" s="292" t="s">
        <v>360</v>
      </c>
      <c r="B165" s="281" t="s">
        <v>220</v>
      </c>
      <c r="C165" s="282" t="s">
        <v>579</v>
      </c>
      <c r="D165" s="281" t="s">
        <v>358</v>
      </c>
      <c r="E165" s="301"/>
      <c r="F165" s="302"/>
      <c r="G165" s="303"/>
      <c r="H165" s="303"/>
      <c r="I165" s="251">
        <v>172.4</v>
      </c>
      <c r="J165" s="251">
        <v>114.9</v>
      </c>
      <c r="K165" s="251">
        <v>172.4</v>
      </c>
      <c r="L165" s="254">
        <f>'Вед. 2017 (прил 4)'!N176</f>
        <v>250.4</v>
      </c>
    </row>
    <row r="166" spans="1:12" x14ac:dyDescent="0.2">
      <c r="A166" s="358" t="s">
        <v>171</v>
      </c>
      <c r="B166" s="346" t="s">
        <v>40</v>
      </c>
      <c r="C166" s="346"/>
      <c r="D166" s="346"/>
      <c r="E166" s="301"/>
      <c r="F166" s="302"/>
      <c r="G166" s="303"/>
      <c r="H166" s="303"/>
      <c r="I166" s="352" t="e">
        <f>#REF!+#REF!+I167</f>
        <v>#REF!</v>
      </c>
      <c r="J166" s="352" t="e">
        <f>#REF!+#REF!+J167</f>
        <v>#REF!</v>
      </c>
      <c r="K166" s="352" t="e">
        <f>#REF!+#REF!+K167</f>
        <v>#REF!</v>
      </c>
      <c r="L166" s="353">
        <f>L167</f>
        <v>997.8</v>
      </c>
    </row>
    <row r="167" spans="1:12" ht="48" x14ac:dyDescent="0.2">
      <c r="A167" s="358" t="s">
        <v>605</v>
      </c>
      <c r="B167" s="346" t="s">
        <v>40</v>
      </c>
      <c r="C167" s="346" t="s">
        <v>606</v>
      </c>
      <c r="D167" s="346"/>
      <c r="E167" s="301"/>
      <c r="F167" s="302"/>
      <c r="G167" s="303"/>
      <c r="H167" s="303"/>
      <c r="I167" s="405">
        <f>I169</f>
        <v>602.4</v>
      </c>
      <c r="J167" s="405">
        <f>J169</f>
        <v>229.4</v>
      </c>
      <c r="K167" s="405">
        <f>K169</f>
        <v>344.1</v>
      </c>
      <c r="L167" s="406">
        <f>L169</f>
        <v>997.8</v>
      </c>
    </row>
    <row r="168" spans="1:12" ht="21.75" customHeight="1" x14ac:dyDescent="0.2">
      <c r="A168" s="292" t="s">
        <v>359</v>
      </c>
      <c r="B168" s="249" t="s">
        <v>40</v>
      </c>
      <c r="C168" s="249" t="s">
        <v>606</v>
      </c>
      <c r="D168" s="249" t="s">
        <v>357</v>
      </c>
      <c r="E168" s="301"/>
      <c r="F168" s="302"/>
      <c r="G168" s="303"/>
      <c r="H168" s="303"/>
      <c r="I168" s="251">
        <v>602.4</v>
      </c>
      <c r="J168" s="251">
        <v>229.4</v>
      </c>
      <c r="K168" s="251">
        <v>344.1</v>
      </c>
      <c r="L168" s="254">
        <f>L169</f>
        <v>997.8</v>
      </c>
    </row>
    <row r="169" spans="1:12" ht="25.5" customHeight="1" thickBot="1" x14ac:dyDescent="0.25">
      <c r="A169" s="292" t="s">
        <v>360</v>
      </c>
      <c r="B169" s="249" t="s">
        <v>40</v>
      </c>
      <c r="C169" s="249" t="s">
        <v>606</v>
      </c>
      <c r="D169" s="249" t="s">
        <v>358</v>
      </c>
      <c r="E169" s="301"/>
      <c r="F169" s="302"/>
      <c r="G169" s="303"/>
      <c r="H169" s="303"/>
      <c r="I169" s="251">
        <v>602.4</v>
      </c>
      <c r="J169" s="251">
        <v>229.4</v>
      </c>
      <c r="K169" s="251">
        <v>344.1</v>
      </c>
      <c r="L169" s="254">
        <f>'Вед. 2017 (прил 4)'!N180</f>
        <v>997.8</v>
      </c>
    </row>
    <row r="170" spans="1:12" ht="13.5" thickBot="1" x14ac:dyDescent="0.25">
      <c r="A170" s="376" t="s">
        <v>170</v>
      </c>
      <c r="B170" s="377" t="s">
        <v>185</v>
      </c>
      <c r="C170" s="377"/>
      <c r="D170" s="377"/>
      <c r="E170" s="301"/>
      <c r="F170" s="302"/>
      <c r="G170" s="303"/>
      <c r="H170" s="303"/>
      <c r="I170" s="378">
        <f t="shared" ref="I170:L171" si="18">I171</f>
        <v>653</v>
      </c>
      <c r="J170" s="378">
        <f t="shared" si="18"/>
        <v>424.3</v>
      </c>
      <c r="K170" s="378">
        <f t="shared" si="18"/>
        <v>653</v>
      </c>
      <c r="L170" s="379">
        <f t="shared" si="18"/>
        <v>327</v>
      </c>
    </row>
    <row r="171" spans="1:12" x14ac:dyDescent="0.2">
      <c r="A171" s="381" t="s">
        <v>186</v>
      </c>
      <c r="B171" s="345" t="s">
        <v>184</v>
      </c>
      <c r="C171" s="345"/>
      <c r="D171" s="345"/>
      <c r="E171" s="397"/>
      <c r="F171" s="398"/>
      <c r="G171" s="399"/>
      <c r="H171" s="399"/>
      <c r="I171" s="348">
        <f t="shared" si="18"/>
        <v>653</v>
      </c>
      <c r="J171" s="348">
        <f t="shared" si="18"/>
        <v>424.3</v>
      </c>
      <c r="K171" s="348">
        <f t="shared" si="18"/>
        <v>653</v>
      </c>
      <c r="L171" s="349">
        <f t="shared" si="18"/>
        <v>327</v>
      </c>
    </row>
    <row r="172" spans="1:12" ht="72" x14ac:dyDescent="0.2">
      <c r="A172" s="396" t="s">
        <v>437</v>
      </c>
      <c r="B172" s="249" t="s">
        <v>184</v>
      </c>
      <c r="C172" s="393" t="s">
        <v>580</v>
      </c>
      <c r="D172" s="249"/>
      <c r="E172" s="301"/>
      <c r="F172" s="302"/>
      <c r="G172" s="303"/>
      <c r="H172" s="303"/>
      <c r="I172" s="251">
        <f>I174</f>
        <v>653</v>
      </c>
      <c r="J172" s="251">
        <f>J174</f>
        <v>424.3</v>
      </c>
      <c r="K172" s="251">
        <f>K174</f>
        <v>653</v>
      </c>
      <c r="L172" s="254">
        <f>L174</f>
        <v>327</v>
      </c>
    </row>
    <row r="173" spans="1:12" ht="24.75" customHeight="1" x14ac:dyDescent="0.2">
      <c r="A173" s="257" t="s">
        <v>349</v>
      </c>
      <c r="B173" s="282" t="s">
        <v>184</v>
      </c>
      <c r="C173" s="282" t="s">
        <v>580</v>
      </c>
      <c r="D173" s="282" t="s">
        <v>348</v>
      </c>
      <c r="E173" s="301"/>
      <c r="F173" s="302"/>
      <c r="G173" s="303"/>
      <c r="H173" s="303"/>
      <c r="I173" s="298">
        <f>697-44</f>
        <v>653</v>
      </c>
      <c r="J173" s="298">
        <v>424.3</v>
      </c>
      <c r="K173" s="298">
        <v>653</v>
      </c>
      <c r="L173" s="299">
        <f>L174</f>
        <v>327</v>
      </c>
    </row>
    <row r="174" spans="1:12" ht="24.75" customHeight="1" thickBot="1" x14ac:dyDescent="0.25">
      <c r="A174" s="248" t="s">
        <v>314</v>
      </c>
      <c r="B174" s="282" t="s">
        <v>184</v>
      </c>
      <c r="C174" s="282" t="s">
        <v>580</v>
      </c>
      <c r="D174" s="282" t="s">
        <v>256</v>
      </c>
      <c r="E174" s="301"/>
      <c r="F174" s="302"/>
      <c r="G174" s="303"/>
      <c r="H174" s="303"/>
      <c r="I174" s="298">
        <f>697-44</f>
        <v>653</v>
      </c>
      <c r="J174" s="298">
        <v>424.3</v>
      </c>
      <c r="K174" s="298">
        <v>653</v>
      </c>
      <c r="L174" s="299">
        <f>'Вед. 2017 (прил 4)'!N185</f>
        <v>327</v>
      </c>
    </row>
    <row r="175" spans="1:12" ht="13.5" thickBot="1" x14ac:dyDescent="0.25">
      <c r="A175" s="376" t="s">
        <v>187</v>
      </c>
      <c r="B175" s="377" t="s">
        <v>188</v>
      </c>
      <c r="C175" s="377"/>
      <c r="D175" s="377"/>
      <c r="E175" s="301"/>
      <c r="F175" s="302"/>
      <c r="G175" s="303"/>
      <c r="H175" s="303"/>
      <c r="I175" s="378" t="e">
        <f>I176</f>
        <v>#REF!</v>
      </c>
      <c r="J175" s="378" t="e">
        <f>J176</f>
        <v>#REF!</v>
      </c>
      <c r="K175" s="378" t="e">
        <f>K176</f>
        <v>#REF!</v>
      </c>
      <c r="L175" s="379">
        <f>L176</f>
        <v>577.20000000000005</v>
      </c>
    </row>
    <row r="176" spans="1:12" x14ac:dyDescent="0.2">
      <c r="A176" s="381" t="s">
        <v>190</v>
      </c>
      <c r="B176" s="345" t="s">
        <v>189</v>
      </c>
      <c r="C176" s="345"/>
      <c r="D176" s="345"/>
      <c r="E176" s="397"/>
      <c r="F176" s="398"/>
      <c r="G176" s="399"/>
      <c r="H176" s="399"/>
      <c r="I176" s="348" t="e">
        <f>I177+#REF!</f>
        <v>#REF!</v>
      </c>
      <c r="J176" s="348" t="e">
        <f>J177+#REF!</f>
        <v>#REF!</v>
      </c>
      <c r="K176" s="348" t="e">
        <f>K177+#REF!</f>
        <v>#REF!</v>
      </c>
      <c r="L176" s="349">
        <f>L177</f>
        <v>577.20000000000005</v>
      </c>
    </row>
    <row r="177" spans="1:18" ht="36" x14ac:dyDescent="0.2">
      <c r="A177" s="396" t="s">
        <v>276</v>
      </c>
      <c r="B177" s="346" t="s">
        <v>189</v>
      </c>
      <c r="C177" s="346" t="s">
        <v>582</v>
      </c>
      <c r="D177" s="346"/>
      <c r="E177" s="397"/>
      <c r="F177" s="398"/>
      <c r="G177" s="399"/>
      <c r="H177" s="399"/>
      <c r="I177" s="352">
        <f>I179</f>
        <v>653.9</v>
      </c>
      <c r="J177" s="352">
        <f>J179</f>
        <v>388.9</v>
      </c>
      <c r="K177" s="352">
        <f>K179</f>
        <v>653.9</v>
      </c>
      <c r="L177" s="353">
        <f>L179</f>
        <v>577.20000000000005</v>
      </c>
    </row>
    <row r="178" spans="1:18" ht="27" customHeight="1" x14ac:dyDescent="0.2">
      <c r="A178" s="257" t="s">
        <v>349</v>
      </c>
      <c r="B178" s="249" t="s">
        <v>189</v>
      </c>
      <c r="C178" s="249" t="s">
        <v>582</v>
      </c>
      <c r="D178" s="282" t="s">
        <v>348</v>
      </c>
      <c r="E178" s="301"/>
      <c r="F178" s="302"/>
      <c r="G178" s="303"/>
      <c r="H178" s="303"/>
      <c r="I178" s="251">
        <v>653.9</v>
      </c>
      <c r="J178" s="251">
        <v>388.9</v>
      </c>
      <c r="K178" s="251">
        <v>653.9</v>
      </c>
      <c r="L178" s="254">
        <f>L179</f>
        <v>577.20000000000005</v>
      </c>
    </row>
    <row r="179" spans="1:18" ht="29.25" customHeight="1" thickBot="1" x14ac:dyDescent="0.25">
      <c r="A179" s="248" t="s">
        <v>314</v>
      </c>
      <c r="B179" s="249" t="s">
        <v>189</v>
      </c>
      <c r="C179" s="249" t="s">
        <v>582</v>
      </c>
      <c r="D179" s="282" t="s">
        <v>256</v>
      </c>
      <c r="E179" s="301"/>
      <c r="F179" s="302"/>
      <c r="G179" s="303"/>
      <c r="H179" s="303"/>
      <c r="I179" s="251">
        <v>653.9</v>
      </c>
      <c r="J179" s="251">
        <v>388.9</v>
      </c>
      <c r="K179" s="251">
        <v>653.9</v>
      </c>
      <c r="L179" s="254">
        <f>'Вед. 2017 (прил 4)'!N190</f>
        <v>577.20000000000005</v>
      </c>
    </row>
    <row r="180" spans="1:18" ht="15" thickBot="1" x14ac:dyDescent="0.25">
      <c r="A180" s="408" t="s">
        <v>36</v>
      </c>
      <c r="B180" s="409"/>
      <c r="C180" s="409"/>
      <c r="D180" s="409"/>
      <c r="E180" s="307"/>
      <c r="F180" s="308"/>
      <c r="G180" s="309"/>
      <c r="H180" s="309"/>
      <c r="I180" s="410" t="e">
        <f>#REF!+#REF!</f>
        <v>#REF!</v>
      </c>
      <c r="J180" s="410" t="e">
        <f>#REF!+#REF!</f>
        <v>#REF!</v>
      </c>
      <c r="K180" s="410" t="e">
        <f>#REF!+#REF!</f>
        <v>#REF!</v>
      </c>
      <c r="L180" s="411">
        <f>L175+L170+L158+L149+L140+L101+L88+L9+L80</f>
        <v>106364</v>
      </c>
      <c r="R180" s="320"/>
    </row>
    <row r="182" spans="1:18" x14ac:dyDescent="0.2">
      <c r="L182" s="320"/>
    </row>
    <row r="183" spans="1:18" x14ac:dyDescent="0.2">
      <c r="L183" s="108"/>
    </row>
    <row r="185" spans="1:18" x14ac:dyDescent="0.2">
      <c r="L185" s="116"/>
    </row>
  </sheetData>
  <mergeCells count="2">
    <mergeCell ref="A5:L6"/>
    <mergeCell ref="D4:L4"/>
  </mergeCells>
  <pageMargins left="0.70866141732283472" right="0.70866141732283472" top="0.74803149606299213" bottom="0.74803149606299213" header="0.31496062992125984" footer="0.31496062992125984"/>
  <pageSetup paperSize="9" scale="85" fitToHeight="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9"/>
  <sheetViews>
    <sheetView topLeftCell="A172" workbookViewId="0">
      <selection activeCell="B173" sqref="B173"/>
    </sheetView>
  </sheetViews>
  <sheetFormatPr defaultRowHeight="12.75" x14ac:dyDescent="0.2"/>
  <cols>
    <col min="1" max="1" width="9.140625" style="9" customWidth="1"/>
    <col min="2" max="2" width="46.140625" style="8" customWidth="1"/>
    <col min="3" max="3" width="9.42578125" style="8" customWidth="1"/>
    <col min="4" max="4" width="14.28515625" style="9" customWidth="1"/>
    <col min="5" max="5" width="11.5703125" style="8" customWidth="1"/>
    <col min="6" max="6" width="11" style="8" customWidth="1"/>
    <col min="7" max="7" width="0.140625" style="9" hidden="1" customWidth="1"/>
    <col min="8" max="8" width="8.140625" style="10" hidden="1" customWidth="1"/>
    <col min="9" max="9" width="8" style="115" hidden="1" customWidth="1"/>
    <col min="10" max="10" width="5.140625" style="115" hidden="1" customWidth="1"/>
    <col min="11" max="11" width="11.7109375" style="115" hidden="1" customWidth="1"/>
    <col min="12" max="12" width="11" style="115" hidden="1" customWidth="1"/>
    <col min="13" max="13" width="12.5703125" style="115" hidden="1" customWidth="1"/>
    <col min="14" max="14" width="14" style="115" customWidth="1"/>
    <col min="15" max="23" width="0" style="115" hidden="1" customWidth="1"/>
    <col min="24" max="24" width="11.28515625" style="115" customWidth="1"/>
    <col min="25" max="25" width="9.85546875" style="115" bestFit="1" customWidth="1"/>
    <col min="26" max="16384" width="9.140625" style="115"/>
  </cols>
  <sheetData>
    <row r="1" spans="1:25" ht="15.75" x14ac:dyDescent="0.2">
      <c r="A1" s="231"/>
      <c r="B1" s="232"/>
      <c r="C1" s="232"/>
      <c r="D1" s="417"/>
      <c r="E1" s="232"/>
      <c r="F1" s="232"/>
      <c r="G1" s="232"/>
      <c r="H1" s="233"/>
      <c r="I1" s="117"/>
      <c r="J1" s="117"/>
      <c r="K1" s="117"/>
      <c r="L1" s="117"/>
      <c r="M1" s="117"/>
      <c r="N1" s="234" t="s">
        <v>628</v>
      </c>
    </row>
    <row r="2" spans="1:25" x14ac:dyDescent="0.2">
      <c r="A2" s="235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23"/>
      <c r="M2" s="123"/>
      <c r="N2" s="461" t="s">
        <v>610</v>
      </c>
    </row>
    <row r="3" spans="1:25" x14ac:dyDescent="0.2">
      <c r="A3" s="235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497" t="s">
        <v>631</v>
      </c>
    </row>
    <row r="4" spans="1:25" x14ac:dyDescent="0.2">
      <c r="A4" s="235"/>
      <c r="B4" s="117"/>
      <c r="C4" s="117"/>
      <c r="D4" s="117"/>
      <c r="E4" s="117"/>
      <c r="F4" s="533"/>
      <c r="G4" s="533"/>
      <c r="H4" s="533"/>
      <c r="I4" s="533"/>
      <c r="J4" s="533"/>
      <c r="K4" s="533"/>
      <c r="L4" s="533"/>
      <c r="M4" s="533"/>
      <c r="N4" s="533"/>
    </row>
    <row r="5" spans="1:25" x14ac:dyDescent="0.2">
      <c r="A5" s="535" t="s">
        <v>308</v>
      </c>
      <c r="B5" s="535"/>
      <c r="C5" s="535" t="s">
        <v>214</v>
      </c>
      <c r="D5" s="535"/>
      <c r="E5" s="535"/>
      <c r="F5" s="535"/>
      <c r="G5" s="535"/>
      <c r="H5" s="535"/>
      <c r="I5" s="535"/>
      <c r="J5" s="535"/>
      <c r="K5" s="535"/>
      <c r="L5" s="117"/>
      <c r="M5" s="117"/>
      <c r="N5" s="117"/>
    </row>
    <row r="6" spans="1:25" x14ac:dyDescent="0.2">
      <c r="A6" s="535" t="s">
        <v>642</v>
      </c>
      <c r="B6" s="535"/>
      <c r="C6" s="535"/>
      <c r="D6" s="535"/>
      <c r="E6" s="535"/>
      <c r="F6" s="535"/>
      <c r="G6" s="535"/>
      <c r="H6" s="535"/>
      <c r="I6" s="117"/>
      <c r="J6" s="117"/>
      <c r="K6" s="117"/>
      <c r="L6" s="117"/>
      <c r="M6" s="117"/>
      <c r="N6" s="117"/>
    </row>
    <row r="7" spans="1:25" ht="13.5" thickBot="1" x14ac:dyDescent="0.25">
      <c r="A7" s="237"/>
      <c r="B7" s="238"/>
      <c r="C7" s="238"/>
      <c r="D7" s="237"/>
      <c r="E7" s="237"/>
      <c r="F7" s="239"/>
      <c r="G7" s="239"/>
      <c r="H7" s="240"/>
      <c r="I7" s="117"/>
      <c r="J7" s="117"/>
      <c r="K7" s="117"/>
      <c r="L7" s="117"/>
      <c r="M7" s="117"/>
      <c r="N7" s="117"/>
    </row>
    <row r="8" spans="1:25" ht="85.5" customHeight="1" thickBot="1" x14ac:dyDescent="0.25">
      <c r="A8" s="241" t="s">
        <v>92</v>
      </c>
      <c r="B8" s="242" t="s">
        <v>25</v>
      </c>
      <c r="C8" s="243" t="s">
        <v>139</v>
      </c>
      <c r="D8" s="243" t="s">
        <v>26</v>
      </c>
      <c r="E8" s="243" t="s">
        <v>15</v>
      </c>
      <c r="F8" s="243" t="s">
        <v>27</v>
      </c>
      <c r="G8" s="243" t="s">
        <v>28</v>
      </c>
      <c r="H8" s="244" t="s">
        <v>215</v>
      </c>
      <c r="I8" s="245" t="s">
        <v>216</v>
      </c>
      <c r="J8" s="245" t="s">
        <v>212</v>
      </c>
      <c r="K8" s="244" t="s">
        <v>248</v>
      </c>
      <c r="L8" s="245" t="s">
        <v>305</v>
      </c>
      <c r="M8" s="245" t="s">
        <v>249</v>
      </c>
      <c r="N8" s="246" t="s">
        <v>306</v>
      </c>
    </row>
    <row r="9" spans="1:25" ht="36.75" thickBot="1" x14ac:dyDescent="0.25">
      <c r="A9" s="337" t="s">
        <v>2</v>
      </c>
      <c r="B9" s="338" t="s">
        <v>173</v>
      </c>
      <c r="C9" s="339" t="s">
        <v>157</v>
      </c>
      <c r="D9" s="339"/>
      <c r="E9" s="339"/>
      <c r="F9" s="339"/>
      <c r="G9" s="339"/>
      <c r="H9" s="340" t="e">
        <f>H12+H15</f>
        <v>#REF!</v>
      </c>
      <c r="I9" s="340" t="e">
        <f>I12+I15</f>
        <v>#REF!</v>
      </c>
      <c r="J9" s="340" t="e">
        <f>J12+J15</f>
        <v>#REF!</v>
      </c>
      <c r="K9" s="341" t="e">
        <f>K10+K15</f>
        <v>#REF!</v>
      </c>
      <c r="L9" s="341" t="e">
        <f>L10+L15</f>
        <v>#REF!</v>
      </c>
      <c r="M9" s="341" t="e">
        <f>M10+M15</f>
        <v>#REF!</v>
      </c>
      <c r="N9" s="342">
        <f>N10</f>
        <v>3323</v>
      </c>
    </row>
    <row r="10" spans="1:25" x14ac:dyDescent="0.2">
      <c r="A10" s="343" t="s">
        <v>164</v>
      </c>
      <c r="B10" s="344" t="s">
        <v>74</v>
      </c>
      <c r="C10" s="345" t="s">
        <v>157</v>
      </c>
      <c r="D10" s="345" t="s">
        <v>14</v>
      </c>
      <c r="E10" s="345"/>
      <c r="F10" s="345"/>
      <c r="G10" s="346"/>
      <c r="H10" s="347" t="e">
        <f>H12+H15+#REF!</f>
        <v>#REF!</v>
      </c>
      <c r="I10" s="347" t="e">
        <f>I12+I15</f>
        <v>#REF!</v>
      </c>
      <c r="J10" s="347" t="e">
        <f>J12+J15</f>
        <v>#REF!</v>
      </c>
      <c r="K10" s="348" t="e">
        <f>K12+K41+#REF!</f>
        <v>#REF!</v>
      </c>
      <c r="L10" s="348" t="e">
        <f>L12+L41+#REF!</f>
        <v>#REF!</v>
      </c>
      <c r="M10" s="348" t="e">
        <f>M12+M41+#REF!</f>
        <v>#REF!</v>
      </c>
      <c r="N10" s="349">
        <f>N12+N15</f>
        <v>3323</v>
      </c>
    </row>
    <row r="11" spans="1:25" ht="41.25" customHeight="1" x14ac:dyDescent="0.2">
      <c r="A11" s="343" t="s">
        <v>62</v>
      </c>
      <c r="B11" s="344" t="s">
        <v>320</v>
      </c>
      <c r="C11" s="345" t="s">
        <v>157</v>
      </c>
      <c r="D11" s="345" t="s">
        <v>43</v>
      </c>
      <c r="E11" s="345"/>
      <c r="F11" s="345"/>
      <c r="G11" s="346"/>
      <c r="H11" s="347"/>
      <c r="I11" s="347"/>
      <c r="J11" s="347"/>
      <c r="K11" s="348"/>
      <c r="L11" s="348"/>
      <c r="M11" s="348"/>
      <c r="N11" s="349">
        <f>N12</f>
        <v>1080.0999999999999</v>
      </c>
    </row>
    <row r="12" spans="1:25" x14ac:dyDescent="0.2">
      <c r="A12" s="350" t="s">
        <v>45</v>
      </c>
      <c r="B12" s="351" t="s">
        <v>158</v>
      </c>
      <c r="C12" s="346" t="s">
        <v>157</v>
      </c>
      <c r="D12" s="346" t="s">
        <v>43</v>
      </c>
      <c r="E12" s="346" t="s">
        <v>546</v>
      </c>
      <c r="F12" s="346"/>
      <c r="G12" s="346"/>
      <c r="H12" s="347">
        <f t="shared" ref="H12:M12" si="0">H14</f>
        <v>753.2</v>
      </c>
      <c r="I12" s="347">
        <f t="shared" si="0"/>
        <v>530.70000000000005</v>
      </c>
      <c r="J12" s="347">
        <f t="shared" si="0"/>
        <v>753.2</v>
      </c>
      <c r="K12" s="352">
        <f t="shared" si="0"/>
        <v>918.9</v>
      </c>
      <c r="L12" s="352">
        <f t="shared" si="0"/>
        <v>606.1</v>
      </c>
      <c r="M12" s="352">
        <f t="shared" si="0"/>
        <v>918.9</v>
      </c>
      <c r="N12" s="353">
        <f>N13</f>
        <v>1080.0999999999999</v>
      </c>
    </row>
    <row r="13" spans="1:25" ht="56.25" customHeight="1" x14ac:dyDescent="0.2">
      <c r="A13" s="247" t="s">
        <v>44</v>
      </c>
      <c r="B13" s="248" t="s">
        <v>344</v>
      </c>
      <c r="C13" s="249" t="s">
        <v>157</v>
      </c>
      <c r="D13" s="249" t="s">
        <v>43</v>
      </c>
      <c r="E13" s="249" t="s">
        <v>546</v>
      </c>
      <c r="F13" s="249" t="s">
        <v>342</v>
      </c>
      <c r="G13" s="249"/>
      <c r="H13" s="250" t="e">
        <f>[2]роспись!H9</f>
        <v>#REF!</v>
      </c>
      <c r="I13" s="250">
        <v>530.70000000000005</v>
      </c>
      <c r="J13" s="250">
        <v>753.2</v>
      </c>
      <c r="K13" s="251">
        <v>918.9</v>
      </c>
      <c r="L13" s="252">
        <v>606.1</v>
      </c>
      <c r="M13" s="253">
        <v>918.9</v>
      </c>
      <c r="N13" s="254">
        <f>N14</f>
        <v>1080.0999999999999</v>
      </c>
      <c r="O13" s="320"/>
    </row>
    <row r="14" spans="1:25" ht="26.25" customHeight="1" x14ac:dyDescent="0.2">
      <c r="A14" s="247" t="s">
        <v>350</v>
      </c>
      <c r="B14" s="248" t="s">
        <v>345</v>
      </c>
      <c r="C14" s="249" t="s">
        <v>157</v>
      </c>
      <c r="D14" s="249" t="s">
        <v>43</v>
      </c>
      <c r="E14" s="249" t="s">
        <v>546</v>
      </c>
      <c r="F14" s="249" t="s">
        <v>343</v>
      </c>
      <c r="G14" s="249"/>
      <c r="H14" s="250">
        <f>[2]роспись!H10</f>
        <v>753.2</v>
      </c>
      <c r="I14" s="250">
        <v>530.70000000000005</v>
      </c>
      <c r="J14" s="250">
        <v>753.2</v>
      </c>
      <c r="K14" s="251">
        <v>918.9</v>
      </c>
      <c r="L14" s="252">
        <v>606.1</v>
      </c>
      <c r="M14" s="253">
        <v>918.9</v>
      </c>
      <c r="N14" s="254">
        <v>1080.0999999999999</v>
      </c>
    </row>
    <row r="15" spans="1:25" ht="45" customHeight="1" x14ac:dyDescent="0.2">
      <c r="A15" s="350" t="s">
        <v>3</v>
      </c>
      <c r="B15" s="351" t="s">
        <v>210</v>
      </c>
      <c r="C15" s="346" t="s">
        <v>157</v>
      </c>
      <c r="D15" s="346" t="s">
        <v>29</v>
      </c>
      <c r="E15" s="346"/>
      <c r="F15" s="346"/>
      <c r="G15" s="346"/>
      <c r="H15" s="347" t="e">
        <f>H31</f>
        <v>#REF!</v>
      </c>
      <c r="I15" s="347" t="e">
        <f>I31</f>
        <v>#REF!</v>
      </c>
      <c r="J15" s="347" t="e">
        <f>J31</f>
        <v>#REF!</v>
      </c>
      <c r="K15" s="352" t="e">
        <f>K31+K17</f>
        <v>#REF!</v>
      </c>
      <c r="L15" s="352" t="e">
        <f>L31+L17</f>
        <v>#REF!</v>
      </c>
      <c r="M15" s="352" t="e">
        <f>M31+M17</f>
        <v>#REF!</v>
      </c>
      <c r="N15" s="353">
        <f>N16</f>
        <v>2242.9</v>
      </c>
    </row>
    <row r="16" spans="1:25" ht="30" customHeight="1" x14ac:dyDescent="0.2">
      <c r="A16" s="350" t="s">
        <v>177</v>
      </c>
      <c r="B16" s="354" t="s">
        <v>591</v>
      </c>
      <c r="C16" s="355" t="s">
        <v>157</v>
      </c>
      <c r="D16" s="355" t="s">
        <v>29</v>
      </c>
      <c r="E16" s="346" t="s">
        <v>547</v>
      </c>
      <c r="F16" s="355"/>
      <c r="G16" s="346"/>
      <c r="H16" s="347" t="e">
        <f>#REF!</f>
        <v>#REF!</v>
      </c>
      <c r="I16" s="347" t="e">
        <f>#REF!</f>
        <v>#REF!</v>
      </c>
      <c r="J16" s="347" t="e">
        <f>#REF!</f>
        <v>#REF!</v>
      </c>
      <c r="K16" s="352" t="e">
        <f>#REF!</f>
        <v>#REF!</v>
      </c>
      <c r="L16" s="352" t="e">
        <f>#REF!</f>
        <v>#REF!</v>
      </c>
      <c r="M16" s="352" t="e">
        <f>#REF!</f>
        <v>#REF!</v>
      </c>
      <c r="N16" s="353">
        <f>N31+N17</f>
        <v>2242.9</v>
      </c>
      <c r="Y16" s="320"/>
    </row>
    <row r="17" spans="1:14" ht="30" customHeight="1" x14ac:dyDescent="0.2">
      <c r="A17" s="350" t="s">
        <v>179</v>
      </c>
      <c r="B17" s="351" t="s">
        <v>251</v>
      </c>
      <c r="C17" s="346" t="s">
        <v>157</v>
      </c>
      <c r="D17" s="346" t="s">
        <v>29</v>
      </c>
      <c r="E17" s="346" t="s">
        <v>585</v>
      </c>
      <c r="F17" s="346"/>
      <c r="G17" s="346"/>
      <c r="H17" s="347"/>
      <c r="I17" s="347"/>
      <c r="J17" s="347"/>
      <c r="K17" s="352">
        <f>K19+K20</f>
        <v>536.4</v>
      </c>
      <c r="L17" s="352">
        <f>L19+L20</f>
        <v>347.6</v>
      </c>
      <c r="M17" s="352">
        <f>M19+M20</f>
        <v>536.6</v>
      </c>
      <c r="N17" s="353">
        <f>N19+N22</f>
        <v>2102.5</v>
      </c>
    </row>
    <row r="18" spans="1:14" ht="48" x14ac:dyDescent="0.2">
      <c r="A18" s="247" t="s">
        <v>361</v>
      </c>
      <c r="B18" s="256" t="s">
        <v>346</v>
      </c>
      <c r="C18" s="249" t="s">
        <v>157</v>
      </c>
      <c r="D18" s="249" t="s">
        <v>29</v>
      </c>
      <c r="E18" s="249" t="s">
        <v>585</v>
      </c>
      <c r="F18" s="249" t="s">
        <v>342</v>
      </c>
      <c r="G18" s="249"/>
      <c r="H18" s="250"/>
      <c r="I18" s="250"/>
      <c r="J18" s="250"/>
      <c r="K18" s="298">
        <v>519.5</v>
      </c>
      <c r="L18" s="264">
        <v>330.8</v>
      </c>
      <c r="M18" s="265">
        <v>519.70000000000005</v>
      </c>
      <c r="N18" s="299">
        <f>N19</f>
        <v>1373.5</v>
      </c>
    </row>
    <row r="19" spans="1:14" ht="28.5" customHeight="1" x14ac:dyDescent="0.2">
      <c r="A19" s="247" t="s">
        <v>592</v>
      </c>
      <c r="B19" s="256" t="s">
        <v>347</v>
      </c>
      <c r="C19" s="249" t="s">
        <v>157</v>
      </c>
      <c r="D19" s="249" t="s">
        <v>29</v>
      </c>
      <c r="E19" s="249" t="s">
        <v>585</v>
      </c>
      <c r="F19" s="249" t="s">
        <v>343</v>
      </c>
      <c r="G19" s="249"/>
      <c r="H19" s="250"/>
      <c r="I19" s="250"/>
      <c r="J19" s="250"/>
      <c r="K19" s="298">
        <v>519.5</v>
      </c>
      <c r="L19" s="264">
        <v>330.8</v>
      </c>
      <c r="M19" s="265">
        <v>519.70000000000005</v>
      </c>
      <c r="N19" s="299">
        <v>1373.5</v>
      </c>
    </row>
    <row r="20" spans="1:14" ht="24.75" hidden="1" customHeight="1" thickBot="1" x14ac:dyDescent="0.25">
      <c r="A20" s="350" t="s">
        <v>252</v>
      </c>
      <c r="B20" s="248" t="s">
        <v>253</v>
      </c>
      <c r="C20" s="249" t="s">
        <v>157</v>
      </c>
      <c r="D20" s="249" t="s">
        <v>29</v>
      </c>
      <c r="E20" s="249" t="s">
        <v>547</v>
      </c>
      <c r="F20" s="249" t="s">
        <v>254</v>
      </c>
      <c r="G20" s="339"/>
      <c r="H20" s="340" t="e">
        <f>H34+H68+H92+#REF!+#REF!+H123+H142+H148</f>
        <v>#REF!</v>
      </c>
      <c r="I20" s="340" t="e">
        <f>I34+I68+I92+#REF!+#REF!+I123+I142+I148</f>
        <v>#REF!</v>
      </c>
      <c r="J20" s="340" t="e">
        <f>J34+J68+J92+#REF!+#REF!+J123+J142+J148</f>
        <v>#REF!</v>
      </c>
      <c r="K20" s="298">
        <v>16.899999999999999</v>
      </c>
      <c r="L20" s="298">
        <v>16.8</v>
      </c>
      <c r="M20" s="298">
        <v>16.899999999999999</v>
      </c>
      <c r="N20" s="299"/>
    </row>
    <row r="21" spans="1:14" ht="35.25" customHeight="1" x14ac:dyDescent="0.2">
      <c r="A21" s="247" t="s">
        <v>593</v>
      </c>
      <c r="B21" s="257" t="s">
        <v>349</v>
      </c>
      <c r="C21" s="249" t="s">
        <v>157</v>
      </c>
      <c r="D21" s="249" t="s">
        <v>29</v>
      </c>
      <c r="E21" s="249" t="s">
        <v>585</v>
      </c>
      <c r="F21" s="249" t="s">
        <v>348</v>
      </c>
      <c r="G21" s="249"/>
      <c r="H21" s="250"/>
      <c r="I21" s="250"/>
      <c r="J21" s="250"/>
      <c r="K21" s="298">
        <v>519.5</v>
      </c>
      <c r="L21" s="264">
        <v>330.8</v>
      </c>
      <c r="M21" s="265">
        <v>519.70000000000005</v>
      </c>
      <c r="N21" s="299">
        <f>N22</f>
        <v>729</v>
      </c>
    </row>
    <row r="22" spans="1:14" ht="36" x14ac:dyDescent="0.2">
      <c r="A22" s="247" t="s">
        <v>594</v>
      </c>
      <c r="B22" s="248" t="s">
        <v>314</v>
      </c>
      <c r="C22" s="249" t="s">
        <v>157</v>
      </c>
      <c r="D22" s="249" t="s">
        <v>29</v>
      </c>
      <c r="E22" s="249" t="s">
        <v>585</v>
      </c>
      <c r="F22" s="249" t="s">
        <v>256</v>
      </c>
      <c r="G22" s="249"/>
      <c r="H22" s="250"/>
      <c r="I22" s="250"/>
      <c r="J22" s="250"/>
      <c r="K22" s="298">
        <v>519.5</v>
      </c>
      <c r="L22" s="264">
        <v>330.8</v>
      </c>
      <c r="M22" s="265">
        <v>519.70000000000005</v>
      </c>
      <c r="N22" s="299">
        <v>729</v>
      </c>
    </row>
    <row r="23" spans="1:14" ht="14.25" hidden="1" customHeight="1" thickBot="1" x14ac:dyDescent="0.25">
      <c r="A23" s="337" t="s">
        <v>47</v>
      </c>
      <c r="B23" s="338" t="s">
        <v>377</v>
      </c>
      <c r="C23" s="339" t="s">
        <v>311</v>
      </c>
      <c r="D23" s="339"/>
      <c r="E23" s="339"/>
      <c r="F23" s="339"/>
      <c r="G23" s="345"/>
      <c r="H23" s="356" t="e">
        <f>H24+#REF!+#REF!</f>
        <v>#REF!</v>
      </c>
      <c r="I23" s="356" t="e">
        <f>I24+#REF!+#REF!</f>
        <v>#REF!</v>
      </c>
      <c r="J23" s="356" t="e">
        <f>J24+#REF!+#REF!</f>
        <v>#REF!</v>
      </c>
      <c r="K23" s="341" t="e">
        <f>K24+#REF!+K124+K161+K177+K180+K195+K200+K119</f>
        <v>#REF!</v>
      </c>
      <c r="L23" s="341" t="e">
        <f>L24+#REF!+L124+L161+L177+L180+L195+L200+L119</f>
        <v>#REF!</v>
      </c>
      <c r="M23" s="341" t="e">
        <f>M24+#REF!+M124+M161+M177+M180+M195+M200+M119</f>
        <v>#REF!</v>
      </c>
      <c r="N23" s="342">
        <v>0</v>
      </c>
    </row>
    <row r="24" spans="1:14" ht="24.75" hidden="1" customHeight="1" x14ac:dyDescent="0.2">
      <c r="A24" s="343" t="s">
        <v>164</v>
      </c>
      <c r="B24" s="344" t="s">
        <v>74</v>
      </c>
      <c r="C24" s="345" t="s">
        <v>311</v>
      </c>
      <c r="D24" s="345" t="s">
        <v>14</v>
      </c>
      <c r="E24" s="345"/>
      <c r="F24" s="345"/>
      <c r="G24" s="346"/>
      <c r="H24" s="347" t="e">
        <f>H25+H34+H38</f>
        <v>#REF!</v>
      </c>
      <c r="I24" s="347" t="e">
        <f>I25+I34</f>
        <v>#REF!</v>
      </c>
      <c r="J24" s="347" t="e">
        <f>J25+J34</f>
        <v>#REF!</v>
      </c>
      <c r="K24" s="348" t="e">
        <f>K25+K44+K50</f>
        <v>#REF!</v>
      </c>
      <c r="L24" s="348" t="e">
        <f>L25+L44+L50</f>
        <v>#REF!</v>
      </c>
      <c r="M24" s="348" t="e">
        <f>M25+M44+M50</f>
        <v>#REF!</v>
      </c>
      <c r="N24" s="349">
        <v>0</v>
      </c>
    </row>
    <row r="25" spans="1:14" ht="21.75" hidden="1" customHeight="1" x14ac:dyDescent="0.2">
      <c r="A25" s="357" t="s">
        <v>45</v>
      </c>
      <c r="B25" s="358" t="s">
        <v>312</v>
      </c>
      <c r="C25" s="359" t="s">
        <v>311</v>
      </c>
      <c r="D25" s="359" t="s">
        <v>303</v>
      </c>
      <c r="E25" s="359"/>
      <c r="F25" s="359"/>
      <c r="G25" s="346"/>
      <c r="H25" s="360"/>
      <c r="I25" s="360"/>
      <c r="J25" s="360"/>
      <c r="K25" s="352"/>
      <c r="L25" s="361"/>
      <c r="M25" s="361"/>
      <c r="N25" s="353">
        <f>N26</f>
        <v>0</v>
      </c>
    </row>
    <row r="26" spans="1:14" ht="27.75" hidden="1" customHeight="1" x14ac:dyDescent="0.2">
      <c r="A26" s="350" t="s">
        <v>44</v>
      </c>
      <c r="B26" s="351" t="s">
        <v>378</v>
      </c>
      <c r="C26" s="346" t="s">
        <v>311</v>
      </c>
      <c r="D26" s="346" t="s">
        <v>303</v>
      </c>
      <c r="E26" s="346" t="s">
        <v>379</v>
      </c>
      <c r="F26" s="346"/>
      <c r="G26" s="346"/>
      <c r="H26" s="347" t="e">
        <f t="shared" ref="H26:M26" si="1">H34</f>
        <v>#REF!</v>
      </c>
      <c r="I26" s="347" t="e">
        <f t="shared" si="1"/>
        <v>#REF!</v>
      </c>
      <c r="J26" s="347" t="e">
        <f t="shared" si="1"/>
        <v>#REF!</v>
      </c>
      <c r="K26" s="352" t="e">
        <f t="shared" si="1"/>
        <v>#REF!</v>
      </c>
      <c r="L26" s="352" t="e">
        <f t="shared" si="1"/>
        <v>#REF!</v>
      </c>
      <c r="M26" s="352" t="e">
        <f t="shared" si="1"/>
        <v>#REF!</v>
      </c>
      <c r="N26" s="353">
        <f>N27+N29</f>
        <v>0</v>
      </c>
    </row>
    <row r="27" spans="1:14" ht="29.25" hidden="1" customHeight="1" x14ac:dyDescent="0.2">
      <c r="A27" s="259" t="s">
        <v>350</v>
      </c>
      <c r="B27" s="248" t="s">
        <v>344</v>
      </c>
      <c r="C27" s="258" t="s">
        <v>311</v>
      </c>
      <c r="D27" s="258" t="s">
        <v>303</v>
      </c>
      <c r="E27" s="258" t="s">
        <v>304</v>
      </c>
      <c r="F27" s="258" t="s">
        <v>342</v>
      </c>
      <c r="G27" s="346"/>
      <c r="H27" s="360"/>
      <c r="I27" s="360"/>
      <c r="J27" s="360"/>
      <c r="K27" s="251"/>
      <c r="L27" s="362"/>
      <c r="M27" s="362"/>
      <c r="N27" s="254">
        <f>N28</f>
        <v>0</v>
      </c>
    </row>
    <row r="28" spans="1:14" ht="22.5" hidden="1" customHeight="1" x14ac:dyDescent="0.2">
      <c r="A28" s="259" t="s">
        <v>381</v>
      </c>
      <c r="B28" s="248" t="s">
        <v>345</v>
      </c>
      <c r="C28" s="258" t="s">
        <v>311</v>
      </c>
      <c r="D28" s="258" t="s">
        <v>303</v>
      </c>
      <c r="E28" s="258" t="s">
        <v>304</v>
      </c>
      <c r="F28" s="258" t="s">
        <v>343</v>
      </c>
      <c r="G28" s="346"/>
      <c r="H28" s="360"/>
      <c r="I28" s="360"/>
      <c r="J28" s="360"/>
      <c r="K28" s="251"/>
      <c r="L28" s="362"/>
      <c r="M28" s="362"/>
      <c r="N28" s="254">
        <v>0</v>
      </c>
    </row>
    <row r="29" spans="1:14" ht="23.25" hidden="1" customHeight="1" x14ac:dyDescent="0.2">
      <c r="A29" s="259" t="s">
        <v>414</v>
      </c>
      <c r="B29" s="248" t="s">
        <v>380</v>
      </c>
      <c r="C29" s="258" t="s">
        <v>311</v>
      </c>
      <c r="D29" s="258" t="s">
        <v>303</v>
      </c>
      <c r="E29" s="258" t="s">
        <v>304</v>
      </c>
      <c r="F29" s="258" t="s">
        <v>348</v>
      </c>
      <c r="G29" s="346"/>
      <c r="H29" s="360"/>
      <c r="I29" s="360"/>
      <c r="J29" s="360"/>
      <c r="K29" s="251"/>
      <c r="L29" s="362"/>
      <c r="M29" s="362"/>
      <c r="N29" s="254">
        <f>N30</f>
        <v>0</v>
      </c>
    </row>
    <row r="30" spans="1:14" ht="30" hidden="1" customHeight="1" thickBot="1" x14ac:dyDescent="0.25">
      <c r="A30" s="259" t="s">
        <v>415</v>
      </c>
      <c r="B30" s="248" t="s">
        <v>314</v>
      </c>
      <c r="C30" s="258" t="s">
        <v>311</v>
      </c>
      <c r="D30" s="258" t="s">
        <v>303</v>
      </c>
      <c r="E30" s="258" t="s">
        <v>304</v>
      </c>
      <c r="F30" s="258" t="s">
        <v>256</v>
      </c>
      <c r="G30" s="346"/>
      <c r="H30" s="360"/>
      <c r="I30" s="360"/>
      <c r="J30" s="360"/>
      <c r="K30" s="251"/>
      <c r="L30" s="362"/>
      <c r="M30" s="362"/>
      <c r="N30" s="254">
        <v>0</v>
      </c>
    </row>
    <row r="31" spans="1:14" ht="30" customHeight="1" x14ac:dyDescent="0.2">
      <c r="A31" s="350" t="s">
        <v>511</v>
      </c>
      <c r="B31" s="354" t="s">
        <v>232</v>
      </c>
      <c r="C31" s="355" t="s">
        <v>157</v>
      </c>
      <c r="D31" s="355" t="s">
        <v>29</v>
      </c>
      <c r="E31" s="346" t="s">
        <v>586</v>
      </c>
      <c r="F31" s="355"/>
      <c r="G31" s="346"/>
      <c r="H31" s="347" t="e">
        <f>#REF!</f>
        <v>#REF!</v>
      </c>
      <c r="I31" s="347" t="e">
        <f>#REF!</f>
        <v>#REF!</v>
      </c>
      <c r="J31" s="347" t="e">
        <f>#REF!</f>
        <v>#REF!</v>
      </c>
      <c r="K31" s="352" t="e">
        <f>#REF!</f>
        <v>#REF!</v>
      </c>
      <c r="L31" s="352" t="e">
        <f>#REF!</f>
        <v>#REF!</v>
      </c>
      <c r="M31" s="352" t="e">
        <f>#REF!</f>
        <v>#REF!</v>
      </c>
      <c r="N31" s="353">
        <f>N32</f>
        <v>140.4</v>
      </c>
    </row>
    <row r="32" spans="1:14" ht="51" customHeight="1" x14ac:dyDescent="0.2">
      <c r="A32" s="247" t="s">
        <v>595</v>
      </c>
      <c r="B32" s="248" t="s">
        <v>344</v>
      </c>
      <c r="C32" s="249" t="s">
        <v>157</v>
      </c>
      <c r="D32" s="249" t="s">
        <v>29</v>
      </c>
      <c r="E32" s="249" t="s">
        <v>586</v>
      </c>
      <c r="F32" s="249" t="s">
        <v>342</v>
      </c>
      <c r="G32" s="249"/>
      <c r="H32" s="250" t="e">
        <f>[2]роспись!H13</f>
        <v>#REF!</v>
      </c>
      <c r="I32" s="250">
        <v>530.70000000000005</v>
      </c>
      <c r="J32" s="250">
        <v>753.2</v>
      </c>
      <c r="K32" s="251">
        <v>918.9</v>
      </c>
      <c r="L32" s="252">
        <v>606.1</v>
      </c>
      <c r="M32" s="253">
        <v>918.9</v>
      </c>
      <c r="N32" s="254">
        <f>N33</f>
        <v>140.4</v>
      </c>
    </row>
    <row r="33" spans="1:25" ht="27" customHeight="1" thickBot="1" x14ac:dyDescent="0.25">
      <c r="A33" s="247" t="s">
        <v>596</v>
      </c>
      <c r="B33" s="248" t="s">
        <v>345</v>
      </c>
      <c r="C33" s="249" t="s">
        <v>157</v>
      </c>
      <c r="D33" s="249" t="s">
        <v>29</v>
      </c>
      <c r="E33" s="249" t="s">
        <v>586</v>
      </c>
      <c r="F33" s="249" t="s">
        <v>343</v>
      </c>
      <c r="G33" s="249"/>
      <c r="H33" s="250" t="e">
        <f>[2]роспись!H14</f>
        <v>#REF!</v>
      </c>
      <c r="I33" s="250">
        <v>530.70000000000005</v>
      </c>
      <c r="J33" s="250">
        <v>753.2</v>
      </c>
      <c r="K33" s="251">
        <v>918.9</v>
      </c>
      <c r="L33" s="252">
        <v>606.1</v>
      </c>
      <c r="M33" s="253">
        <v>918.9</v>
      </c>
      <c r="N33" s="254">
        <v>140.4</v>
      </c>
    </row>
    <row r="34" spans="1:25" ht="36.75" thickBot="1" x14ac:dyDescent="0.25">
      <c r="A34" s="337" t="s">
        <v>47</v>
      </c>
      <c r="B34" s="338" t="s">
        <v>174</v>
      </c>
      <c r="C34" s="339" t="s">
        <v>138</v>
      </c>
      <c r="D34" s="339"/>
      <c r="E34" s="339"/>
      <c r="F34" s="339"/>
      <c r="G34" s="345"/>
      <c r="H34" s="356" t="e">
        <f>H35+#REF!+#REF!</f>
        <v>#REF!</v>
      </c>
      <c r="I34" s="356" t="e">
        <f>I35+#REF!+#REF!</f>
        <v>#REF!</v>
      </c>
      <c r="J34" s="356" t="e">
        <f>J35+#REF!+#REF!</f>
        <v>#REF!</v>
      </c>
      <c r="K34" s="341" t="e">
        <f>K35+K92+K113+K152+K161+K170+K181+K186+K105</f>
        <v>#REF!</v>
      </c>
      <c r="L34" s="341" t="e">
        <f>L35+L92+L113+L152+L161+L170+L181+L186+L105</f>
        <v>#REF!</v>
      </c>
      <c r="M34" s="341" t="e">
        <f>M35+M92+M113+M152+M161+M170+M181+M186+M105</f>
        <v>#REF!</v>
      </c>
      <c r="N34" s="342">
        <f>N35+N92+N100+N113+N152+N161+N170+N181+N186</f>
        <v>103041</v>
      </c>
      <c r="X34" s="320"/>
    </row>
    <row r="35" spans="1:25" ht="29.25" customHeight="1" x14ac:dyDescent="0.2">
      <c r="A35" s="343" t="s">
        <v>164</v>
      </c>
      <c r="B35" s="344" t="s">
        <v>74</v>
      </c>
      <c r="C35" s="345" t="s">
        <v>138</v>
      </c>
      <c r="D35" s="345" t="s">
        <v>14</v>
      </c>
      <c r="E35" s="345"/>
      <c r="F35" s="345"/>
      <c r="G35" s="346"/>
      <c r="H35" s="347">
        <f>H36+H40+H43</f>
        <v>8904.7000000000007</v>
      </c>
      <c r="I35" s="347">
        <f>I36+I40</f>
        <v>5717.9000000000005</v>
      </c>
      <c r="J35" s="347">
        <f>J36+J40</f>
        <v>8892</v>
      </c>
      <c r="K35" s="348" t="e">
        <f>K36+K57+K61</f>
        <v>#REF!</v>
      </c>
      <c r="L35" s="348" t="e">
        <f>L36+L57+L61</f>
        <v>#REF!</v>
      </c>
      <c r="M35" s="348" t="e">
        <f>M36+M57+M61</f>
        <v>#REF!</v>
      </c>
      <c r="N35" s="349">
        <f>N36+N57+N61</f>
        <v>12653.1</v>
      </c>
      <c r="P35" s="320">
        <f>'доходы 2018'!R39</f>
        <v>1181.304864</v>
      </c>
      <c r="Q35" s="320"/>
      <c r="R35" s="320"/>
    </row>
    <row r="36" spans="1:25" ht="48" x14ac:dyDescent="0.2">
      <c r="A36" s="363" t="s">
        <v>8</v>
      </c>
      <c r="B36" s="351" t="s">
        <v>255</v>
      </c>
      <c r="C36" s="346" t="s">
        <v>138</v>
      </c>
      <c r="D36" s="346" t="s">
        <v>46</v>
      </c>
      <c r="E36" s="346"/>
      <c r="F36" s="346"/>
      <c r="G36" s="249"/>
      <c r="H36" s="250">
        <f>H38</f>
        <v>812</v>
      </c>
      <c r="I36" s="250">
        <f>I38</f>
        <v>615.29999999999995</v>
      </c>
      <c r="J36" s="250">
        <f>J38</f>
        <v>812</v>
      </c>
      <c r="K36" s="352" t="e">
        <f>K38+K41+K48</f>
        <v>#REF!</v>
      </c>
      <c r="L36" s="352" t="e">
        <f>L38+L41+L48</f>
        <v>#REF!</v>
      </c>
      <c r="M36" s="352" t="e">
        <f>M38+M41+M48</f>
        <v>#REF!</v>
      </c>
      <c r="N36" s="353">
        <f>N37+N48+N51</f>
        <v>9978</v>
      </c>
      <c r="P36" s="320">
        <f>N36+N11+N15-N48-N51</f>
        <v>12494.7</v>
      </c>
      <c r="Y36" s="320"/>
    </row>
    <row r="37" spans="1:25" s="2" customFormat="1" ht="39.75" customHeight="1" x14ac:dyDescent="0.2">
      <c r="A37" s="363" t="s">
        <v>45</v>
      </c>
      <c r="B37" s="351" t="s">
        <v>589</v>
      </c>
      <c r="C37" s="346" t="s">
        <v>138</v>
      </c>
      <c r="D37" s="346" t="s">
        <v>46</v>
      </c>
      <c r="E37" s="346" t="s">
        <v>548</v>
      </c>
      <c r="F37" s="346"/>
      <c r="G37" s="346"/>
      <c r="H37" s="347">
        <v>812</v>
      </c>
      <c r="I37" s="347">
        <v>615.29999999999995</v>
      </c>
      <c r="J37" s="347">
        <v>812</v>
      </c>
      <c r="K37" s="352">
        <f t="shared" ref="K37:N38" si="2">K39</f>
        <v>941.8</v>
      </c>
      <c r="L37" s="352">
        <f t="shared" si="2"/>
        <v>625.6</v>
      </c>
      <c r="M37" s="352">
        <f t="shared" si="2"/>
        <v>941.8</v>
      </c>
      <c r="N37" s="353">
        <f>N38+N41</f>
        <v>9171.7000000000007</v>
      </c>
      <c r="P37" s="119">
        <f>P34-P35</f>
        <v>-1181.304864</v>
      </c>
    </row>
    <row r="38" spans="1:25" ht="27.75" customHeight="1" x14ac:dyDescent="0.2">
      <c r="A38" s="363" t="s">
        <v>45</v>
      </c>
      <c r="B38" s="351" t="s">
        <v>590</v>
      </c>
      <c r="C38" s="346" t="s">
        <v>138</v>
      </c>
      <c r="D38" s="346" t="s">
        <v>46</v>
      </c>
      <c r="E38" s="346" t="s">
        <v>587</v>
      </c>
      <c r="F38" s="346"/>
      <c r="G38" s="346"/>
      <c r="H38" s="347">
        <v>812</v>
      </c>
      <c r="I38" s="347">
        <v>615.29999999999995</v>
      </c>
      <c r="J38" s="347">
        <v>812</v>
      </c>
      <c r="K38" s="352">
        <f t="shared" si="2"/>
        <v>941.8</v>
      </c>
      <c r="L38" s="352">
        <f t="shared" si="2"/>
        <v>625.6</v>
      </c>
      <c r="M38" s="352">
        <f t="shared" si="2"/>
        <v>941.8</v>
      </c>
      <c r="N38" s="353">
        <f t="shared" si="2"/>
        <v>1104</v>
      </c>
      <c r="P38" s="320">
        <f>P35-P36</f>
        <v>-11313.395136000001</v>
      </c>
    </row>
    <row r="39" spans="1:25" ht="48" x14ac:dyDescent="0.2">
      <c r="A39" s="262" t="s">
        <v>44</v>
      </c>
      <c r="B39" s="248" t="s">
        <v>346</v>
      </c>
      <c r="C39" s="249" t="s">
        <v>138</v>
      </c>
      <c r="D39" s="249" t="s">
        <v>46</v>
      </c>
      <c r="E39" s="249" t="s">
        <v>587</v>
      </c>
      <c r="F39" s="249" t="s">
        <v>342</v>
      </c>
      <c r="G39" s="249"/>
      <c r="H39" s="250">
        <f t="shared" ref="H39:J40" si="3">H40</f>
        <v>8080.0000000000009</v>
      </c>
      <c r="I39" s="250">
        <f t="shared" si="3"/>
        <v>5102.6000000000004</v>
      </c>
      <c r="J39" s="250">
        <f t="shared" si="3"/>
        <v>8080</v>
      </c>
      <c r="K39" s="251">
        <v>941.8</v>
      </c>
      <c r="L39" s="250">
        <v>625.6</v>
      </c>
      <c r="M39" s="250">
        <v>941.8</v>
      </c>
      <c r="N39" s="254">
        <f>N40</f>
        <v>1104</v>
      </c>
    </row>
    <row r="40" spans="1:25" ht="36" customHeight="1" x14ac:dyDescent="0.2">
      <c r="A40" s="262" t="s">
        <v>350</v>
      </c>
      <c r="B40" s="248" t="s">
        <v>347</v>
      </c>
      <c r="C40" s="249" t="s">
        <v>138</v>
      </c>
      <c r="D40" s="249" t="s">
        <v>46</v>
      </c>
      <c r="E40" s="249" t="s">
        <v>587</v>
      </c>
      <c r="F40" s="249" t="s">
        <v>343</v>
      </c>
      <c r="G40" s="249"/>
      <c r="H40" s="250">
        <f t="shared" si="3"/>
        <v>8080.0000000000009</v>
      </c>
      <c r="I40" s="250">
        <f t="shared" si="3"/>
        <v>5102.6000000000004</v>
      </c>
      <c r="J40" s="250">
        <f t="shared" si="3"/>
        <v>8080</v>
      </c>
      <c r="K40" s="251">
        <v>941.8</v>
      </c>
      <c r="L40" s="250">
        <v>625.6</v>
      </c>
      <c r="M40" s="250">
        <v>941.8</v>
      </c>
      <c r="N40" s="254">
        <v>1104</v>
      </c>
      <c r="X40" s="320"/>
      <c r="Y40" s="320"/>
    </row>
    <row r="41" spans="1:25" ht="31.5" customHeight="1" x14ac:dyDescent="0.2">
      <c r="A41" s="357" t="s">
        <v>63</v>
      </c>
      <c r="B41" s="358" t="s">
        <v>175</v>
      </c>
      <c r="C41" s="346" t="s">
        <v>138</v>
      </c>
      <c r="D41" s="346" t="s">
        <v>46</v>
      </c>
      <c r="E41" s="346" t="s">
        <v>588</v>
      </c>
      <c r="F41" s="346"/>
      <c r="G41" s="346"/>
      <c r="H41" s="347">
        <f>[2]роспись!H22</f>
        <v>8080.0000000000009</v>
      </c>
      <c r="I41" s="347">
        <v>5102.6000000000004</v>
      </c>
      <c r="J41" s="347">
        <v>8080</v>
      </c>
      <c r="K41" s="352" t="e">
        <f>K43+K45</f>
        <v>#REF!</v>
      </c>
      <c r="L41" s="352" t="e">
        <f>L43+L45</f>
        <v>#REF!</v>
      </c>
      <c r="M41" s="352" t="e">
        <f>M43+M45</f>
        <v>#REF!</v>
      </c>
      <c r="N41" s="353">
        <f>N42+N44+N46</f>
        <v>8067.7000000000007</v>
      </c>
    </row>
    <row r="42" spans="1:25" ht="48" x14ac:dyDescent="0.2">
      <c r="A42" s="259" t="s">
        <v>178</v>
      </c>
      <c r="B42" s="248" t="s">
        <v>346</v>
      </c>
      <c r="C42" s="249" t="s">
        <v>138</v>
      </c>
      <c r="D42" s="249" t="s">
        <v>46</v>
      </c>
      <c r="E42" s="249" t="s">
        <v>588</v>
      </c>
      <c r="F42" s="249" t="s">
        <v>342</v>
      </c>
      <c r="G42" s="258" t="s">
        <v>77</v>
      </c>
      <c r="H42" s="260">
        <f>H43</f>
        <v>12.7</v>
      </c>
      <c r="I42" s="260">
        <f>I43</f>
        <v>0</v>
      </c>
      <c r="J42" s="260" t="str">
        <f>J43</f>
        <v>12,7</v>
      </c>
      <c r="K42" s="251">
        <v>8250.9</v>
      </c>
      <c r="L42" s="260">
        <v>5168.5</v>
      </c>
      <c r="M42" s="260">
        <v>8250.9</v>
      </c>
      <c r="N42" s="261">
        <f>N43</f>
        <v>4624.1000000000004</v>
      </c>
    </row>
    <row r="43" spans="1:25" ht="24" x14ac:dyDescent="0.2">
      <c r="A43" s="259" t="s">
        <v>351</v>
      </c>
      <c r="B43" s="248" t="s">
        <v>347</v>
      </c>
      <c r="C43" s="249" t="s">
        <v>138</v>
      </c>
      <c r="D43" s="249" t="s">
        <v>46</v>
      </c>
      <c r="E43" s="249" t="s">
        <v>588</v>
      </c>
      <c r="F43" s="249" t="s">
        <v>343</v>
      </c>
      <c r="G43" s="258" t="s">
        <v>77</v>
      </c>
      <c r="H43" s="260">
        <f>H45</f>
        <v>12.7</v>
      </c>
      <c r="I43" s="260">
        <f>I45</f>
        <v>0</v>
      </c>
      <c r="J43" s="260" t="str">
        <f>J45</f>
        <v>12,7</v>
      </c>
      <c r="K43" s="251">
        <v>8250.9</v>
      </c>
      <c r="L43" s="260">
        <v>5168.5</v>
      </c>
      <c r="M43" s="260">
        <v>8250.9</v>
      </c>
      <c r="N43" s="261">
        <v>4624.1000000000004</v>
      </c>
    </row>
    <row r="44" spans="1:25" ht="32.25" customHeight="1" x14ac:dyDescent="0.2">
      <c r="A44" s="259" t="s">
        <v>315</v>
      </c>
      <c r="B44" s="257" t="s">
        <v>349</v>
      </c>
      <c r="C44" s="249" t="s">
        <v>138</v>
      </c>
      <c r="D44" s="249" t="s">
        <v>46</v>
      </c>
      <c r="E44" s="249" t="s">
        <v>588</v>
      </c>
      <c r="F44" s="249" t="s">
        <v>348</v>
      </c>
      <c r="G44" s="258" t="s">
        <v>77</v>
      </c>
      <c r="H44" s="260" t="e">
        <f>[2]роспись!H36</f>
        <v>#REF!</v>
      </c>
      <c r="I44" s="260"/>
      <c r="J44" s="260" t="s">
        <v>193</v>
      </c>
      <c r="K44" s="251" t="e">
        <f>K45+#REF!</f>
        <v>#REF!</v>
      </c>
      <c r="L44" s="251" t="e">
        <f>L45+#REF!</f>
        <v>#REF!</v>
      </c>
      <c r="M44" s="251" t="e">
        <f>M45+#REF!</f>
        <v>#REF!</v>
      </c>
      <c r="N44" s="254">
        <f>N45</f>
        <v>3399.6</v>
      </c>
    </row>
    <row r="45" spans="1:25" ht="36" x14ac:dyDescent="0.2">
      <c r="A45" s="259" t="s">
        <v>316</v>
      </c>
      <c r="B45" s="248" t="s">
        <v>314</v>
      </c>
      <c r="C45" s="249" t="s">
        <v>138</v>
      </c>
      <c r="D45" s="249" t="s">
        <v>46</v>
      </c>
      <c r="E45" s="249" t="s">
        <v>588</v>
      </c>
      <c r="F45" s="249" t="s">
        <v>256</v>
      </c>
      <c r="G45" s="258" t="s">
        <v>77</v>
      </c>
      <c r="H45" s="260">
        <f>[2]роспись!H37</f>
        <v>12.7</v>
      </c>
      <c r="I45" s="260"/>
      <c r="J45" s="260" t="s">
        <v>193</v>
      </c>
      <c r="K45" s="251" t="e">
        <f>#REF!+#REF!</f>
        <v>#REF!</v>
      </c>
      <c r="L45" s="251" t="e">
        <f>#REF!+#REF!</f>
        <v>#REF!</v>
      </c>
      <c r="M45" s="251" t="e">
        <f>#REF!+#REF!</f>
        <v>#REF!</v>
      </c>
      <c r="N45" s="254">
        <f>3403.6-4</f>
        <v>3399.6</v>
      </c>
    </row>
    <row r="46" spans="1:25" ht="21" customHeight="1" x14ac:dyDescent="0.2">
      <c r="A46" s="259" t="s">
        <v>527</v>
      </c>
      <c r="B46" s="257" t="s">
        <v>354</v>
      </c>
      <c r="C46" s="412" t="s">
        <v>138</v>
      </c>
      <c r="D46" s="412" t="s">
        <v>46</v>
      </c>
      <c r="E46" s="249" t="s">
        <v>588</v>
      </c>
      <c r="F46" s="249" t="s">
        <v>353</v>
      </c>
      <c r="G46" s="258" t="s">
        <v>77</v>
      </c>
      <c r="H46" s="260" t="e">
        <f>[2]роспись!H38</f>
        <v>#REF!</v>
      </c>
      <c r="I46" s="260"/>
      <c r="J46" s="260" t="s">
        <v>193</v>
      </c>
      <c r="K46" s="251" t="e">
        <f>K47+#REF!</f>
        <v>#REF!</v>
      </c>
      <c r="L46" s="251" t="e">
        <f>L47+#REF!</f>
        <v>#REF!</v>
      </c>
      <c r="M46" s="251" t="e">
        <f>M47+#REF!</f>
        <v>#REF!</v>
      </c>
      <c r="N46" s="254">
        <f>N47</f>
        <v>44</v>
      </c>
    </row>
    <row r="47" spans="1:25" ht="20.25" customHeight="1" x14ac:dyDescent="0.2">
      <c r="A47" s="259" t="s">
        <v>528</v>
      </c>
      <c r="B47" s="413" t="s">
        <v>529</v>
      </c>
      <c r="C47" s="412" t="s">
        <v>138</v>
      </c>
      <c r="D47" s="412" t="s">
        <v>46</v>
      </c>
      <c r="E47" s="249" t="s">
        <v>588</v>
      </c>
      <c r="F47" s="249" t="s">
        <v>355</v>
      </c>
      <c r="G47" s="258" t="s">
        <v>77</v>
      </c>
      <c r="H47" s="260" t="e">
        <f>[2]роспись!H39</f>
        <v>#REF!</v>
      </c>
      <c r="I47" s="260"/>
      <c r="J47" s="260" t="s">
        <v>193</v>
      </c>
      <c r="K47" s="251" t="e">
        <f>#REF!+#REF!</f>
        <v>#REF!</v>
      </c>
      <c r="L47" s="251" t="e">
        <f>#REF!+#REF!</f>
        <v>#REF!</v>
      </c>
      <c r="M47" s="251" t="e">
        <f>#REF!+#REF!</f>
        <v>#REF!</v>
      </c>
      <c r="N47" s="254">
        <v>44</v>
      </c>
    </row>
    <row r="48" spans="1:25" ht="51" customHeight="1" x14ac:dyDescent="0.2">
      <c r="A48" s="357" t="s">
        <v>242</v>
      </c>
      <c r="B48" s="358" t="s">
        <v>601</v>
      </c>
      <c r="C48" s="359" t="s">
        <v>138</v>
      </c>
      <c r="D48" s="359" t="s">
        <v>46</v>
      </c>
      <c r="E48" s="359" t="s">
        <v>602</v>
      </c>
      <c r="F48" s="359"/>
      <c r="G48" s="359"/>
      <c r="H48" s="364">
        <v>50</v>
      </c>
      <c r="I48" s="347"/>
      <c r="J48" s="347"/>
      <c r="K48" s="365" t="e">
        <f>#REF!</f>
        <v>#REF!</v>
      </c>
      <c r="L48" s="365" t="e">
        <f>#REF!</f>
        <v>#REF!</v>
      </c>
      <c r="M48" s="365">
        <v>5</v>
      </c>
      <c r="N48" s="366">
        <f>N49</f>
        <v>6.9</v>
      </c>
    </row>
    <row r="49" spans="1:14" ht="25.5" customHeight="1" x14ac:dyDescent="0.2">
      <c r="A49" s="259" t="s">
        <v>352</v>
      </c>
      <c r="B49" s="257" t="s">
        <v>349</v>
      </c>
      <c r="C49" s="249" t="s">
        <v>138</v>
      </c>
      <c r="D49" s="249" t="s">
        <v>46</v>
      </c>
      <c r="E49" s="258" t="s">
        <v>602</v>
      </c>
      <c r="F49" s="249" t="s">
        <v>348</v>
      </c>
      <c r="G49" s="258" t="s">
        <v>77</v>
      </c>
      <c r="H49" s="260" t="e">
        <f>[2]роспись!H39</f>
        <v>#REF!</v>
      </c>
      <c r="I49" s="260"/>
      <c r="J49" s="260" t="s">
        <v>193</v>
      </c>
      <c r="K49" s="251" t="e">
        <f>K50+#REF!</f>
        <v>#REF!</v>
      </c>
      <c r="L49" s="251" t="e">
        <f>L50+#REF!</f>
        <v>#REF!</v>
      </c>
      <c r="M49" s="251" t="e">
        <f>M50+#REF!</f>
        <v>#REF!</v>
      </c>
      <c r="N49" s="254">
        <f>N50</f>
        <v>6.9</v>
      </c>
    </row>
    <row r="50" spans="1:14" ht="27.75" customHeight="1" x14ac:dyDescent="0.2">
      <c r="A50" s="259" t="s">
        <v>362</v>
      </c>
      <c r="B50" s="248" t="s">
        <v>314</v>
      </c>
      <c r="C50" s="249" t="s">
        <v>138</v>
      </c>
      <c r="D50" s="249" t="s">
        <v>46</v>
      </c>
      <c r="E50" s="258" t="s">
        <v>602</v>
      </c>
      <c r="F50" s="249" t="s">
        <v>256</v>
      </c>
      <c r="G50" s="258" t="s">
        <v>77</v>
      </c>
      <c r="H50" s="260" t="e">
        <f>[2]роспись!H40</f>
        <v>#REF!</v>
      </c>
      <c r="I50" s="260"/>
      <c r="J50" s="260" t="s">
        <v>193</v>
      </c>
      <c r="K50" s="251" t="e">
        <f>#REF!+#REF!</f>
        <v>#REF!</v>
      </c>
      <c r="L50" s="251" t="e">
        <f>#REF!+#REF!</f>
        <v>#REF!</v>
      </c>
      <c r="M50" s="251" t="e">
        <f>#REF!+#REF!</f>
        <v>#REF!</v>
      </c>
      <c r="N50" s="254">
        <v>6.9</v>
      </c>
    </row>
    <row r="51" spans="1:14" ht="48" x14ac:dyDescent="0.2">
      <c r="A51" s="357" t="s">
        <v>453</v>
      </c>
      <c r="B51" s="358" t="s">
        <v>603</v>
      </c>
      <c r="C51" s="346" t="s">
        <v>138</v>
      </c>
      <c r="D51" s="346" t="s">
        <v>46</v>
      </c>
      <c r="E51" s="359" t="s">
        <v>604</v>
      </c>
      <c r="F51" s="346"/>
      <c r="G51" s="301"/>
      <c r="H51" s="302"/>
      <c r="I51" s="303"/>
      <c r="J51" s="303"/>
      <c r="K51" s="352">
        <f>K52</f>
        <v>657.2</v>
      </c>
      <c r="L51" s="352">
        <f>L52</f>
        <v>424.8</v>
      </c>
      <c r="M51" s="352">
        <f>M52</f>
        <v>657.2</v>
      </c>
      <c r="N51" s="353">
        <f>N52</f>
        <v>799.4</v>
      </c>
    </row>
    <row r="52" spans="1:14" ht="28.5" customHeight="1" x14ac:dyDescent="0.2">
      <c r="A52" s="259" t="s">
        <v>454</v>
      </c>
      <c r="B52" s="300" t="s">
        <v>176</v>
      </c>
      <c r="C52" s="249" t="s">
        <v>138</v>
      </c>
      <c r="D52" s="249" t="s">
        <v>46</v>
      </c>
      <c r="E52" s="258" t="s">
        <v>604</v>
      </c>
      <c r="F52" s="249"/>
      <c r="G52" s="301"/>
      <c r="H52" s="302"/>
      <c r="I52" s="303"/>
      <c r="J52" s="303"/>
      <c r="K52" s="251">
        <v>657.2</v>
      </c>
      <c r="L52" s="251">
        <v>424.8</v>
      </c>
      <c r="M52" s="251">
        <v>657.2</v>
      </c>
      <c r="N52" s="254">
        <f>N53+N55</f>
        <v>799.4</v>
      </c>
    </row>
    <row r="53" spans="1:14" ht="57" customHeight="1" x14ac:dyDescent="0.2">
      <c r="A53" s="259" t="s">
        <v>455</v>
      </c>
      <c r="B53" s="248" t="s">
        <v>346</v>
      </c>
      <c r="C53" s="249" t="s">
        <v>138</v>
      </c>
      <c r="D53" s="249" t="s">
        <v>46</v>
      </c>
      <c r="E53" s="258" t="s">
        <v>604</v>
      </c>
      <c r="F53" s="249" t="s">
        <v>342</v>
      </c>
      <c r="G53" s="301"/>
      <c r="H53" s="302"/>
      <c r="I53" s="303"/>
      <c r="J53" s="303"/>
      <c r="K53" s="251"/>
      <c r="L53" s="251"/>
      <c r="M53" s="251"/>
      <c r="N53" s="254">
        <f>N54</f>
        <v>736.3</v>
      </c>
    </row>
    <row r="54" spans="1:14" ht="24" x14ac:dyDescent="0.2">
      <c r="A54" s="259" t="s">
        <v>456</v>
      </c>
      <c r="B54" s="248" t="s">
        <v>347</v>
      </c>
      <c r="C54" s="249" t="s">
        <v>138</v>
      </c>
      <c r="D54" s="249" t="s">
        <v>46</v>
      </c>
      <c r="E54" s="258" t="s">
        <v>604</v>
      </c>
      <c r="F54" s="249" t="s">
        <v>343</v>
      </c>
      <c r="G54" s="301"/>
      <c r="H54" s="302"/>
      <c r="I54" s="303"/>
      <c r="J54" s="303"/>
      <c r="K54" s="251"/>
      <c r="L54" s="251"/>
      <c r="M54" s="251"/>
      <c r="N54" s="254">
        <v>736.3</v>
      </c>
    </row>
    <row r="55" spans="1:14" ht="26.25" customHeight="1" x14ac:dyDescent="0.2">
      <c r="A55" s="259" t="s">
        <v>457</v>
      </c>
      <c r="B55" s="257" t="s">
        <v>349</v>
      </c>
      <c r="C55" s="249" t="s">
        <v>138</v>
      </c>
      <c r="D55" s="249" t="s">
        <v>46</v>
      </c>
      <c r="E55" s="258" t="s">
        <v>604</v>
      </c>
      <c r="F55" s="249" t="s">
        <v>348</v>
      </c>
      <c r="G55" s="301"/>
      <c r="H55" s="302"/>
      <c r="I55" s="303"/>
      <c r="J55" s="303"/>
      <c r="K55" s="251"/>
      <c r="L55" s="251"/>
      <c r="M55" s="251"/>
      <c r="N55" s="254">
        <f>N56</f>
        <v>63.1</v>
      </c>
    </row>
    <row r="56" spans="1:14" ht="26.25" customHeight="1" x14ac:dyDescent="0.2">
      <c r="A56" s="259" t="s">
        <v>458</v>
      </c>
      <c r="B56" s="248" t="s">
        <v>314</v>
      </c>
      <c r="C56" s="249" t="s">
        <v>138</v>
      </c>
      <c r="D56" s="249" t="s">
        <v>46</v>
      </c>
      <c r="E56" s="258" t="s">
        <v>604</v>
      </c>
      <c r="F56" s="249" t="s">
        <v>256</v>
      </c>
      <c r="G56" s="301"/>
      <c r="H56" s="302"/>
      <c r="I56" s="303"/>
      <c r="J56" s="303"/>
      <c r="K56" s="251"/>
      <c r="L56" s="251"/>
      <c r="M56" s="251"/>
      <c r="N56" s="254">
        <v>63.1</v>
      </c>
    </row>
    <row r="57" spans="1:14" x14ac:dyDescent="0.2">
      <c r="A57" s="367" t="s">
        <v>161</v>
      </c>
      <c r="B57" s="358" t="s">
        <v>313</v>
      </c>
      <c r="C57" s="346" t="s">
        <v>138</v>
      </c>
      <c r="D57" s="346" t="s">
        <v>182</v>
      </c>
      <c r="E57" s="346"/>
      <c r="F57" s="346"/>
      <c r="G57" s="249"/>
      <c r="H57" s="250">
        <f>H58</f>
        <v>80</v>
      </c>
      <c r="I57" s="250">
        <f t="shared" ref="I57:N57" si="4">I58</f>
        <v>69.900000000000006</v>
      </c>
      <c r="J57" s="250">
        <f t="shared" si="4"/>
        <v>80</v>
      </c>
      <c r="K57" s="368">
        <f t="shared" si="4"/>
        <v>50</v>
      </c>
      <c r="L57" s="368">
        <f t="shared" si="4"/>
        <v>0</v>
      </c>
      <c r="M57" s="368">
        <f t="shared" si="4"/>
        <v>0</v>
      </c>
      <c r="N57" s="353">
        <f t="shared" si="4"/>
        <v>20</v>
      </c>
    </row>
    <row r="58" spans="1:14" x14ac:dyDescent="0.2">
      <c r="A58" s="367" t="s">
        <v>177</v>
      </c>
      <c r="B58" s="351" t="s">
        <v>166</v>
      </c>
      <c r="C58" s="346" t="s">
        <v>138</v>
      </c>
      <c r="D58" s="359" t="s">
        <v>182</v>
      </c>
      <c r="E58" s="359" t="s">
        <v>545</v>
      </c>
      <c r="F58" s="359"/>
      <c r="G58" s="346"/>
      <c r="H58" s="347">
        <v>80</v>
      </c>
      <c r="I58" s="347">
        <v>69.900000000000006</v>
      </c>
      <c r="J58" s="347">
        <v>80</v>
      </c>
      <c r="K58" s="365">
        <f>K60</f>
        <v>50</v>
      </c>
      <c r="L58" s="365">
        <f>L60</f>
        <v>0</v>
      </c>
      <c r="M58" s="365">
        <f>M60</f>
        <v>0</v>
      </c>
      <c r="N58" s="366">
        <f>N60</f>
        <v>20</v>
      </c>
    </row>
    <row r="59" spans="1:14" ht="18" customHeight="1" x14ac:dyDescent="0.2">
      <c r="A59" s="369" t="s">
        <v>179</v>
      </c>
      <c r="B59" s="370" t="s">
        <v>354</v>
      </c>
      <c r="C59" s="249" t="s">
        <v>138</v>
      </c>
      <c r="D59" s="258" t="s">
        <v>182</v>
      </c>
      <c r="E59" s="258" t="s">
        <v>545</v>
      </c>
      <c r="F59" s="258" t="s">
        <v>353</v>
      </c>
      <c r="G59" s="346"/>
      <c r="H59" s="360">
        <f t="shared" ref="H59:J60" si="5">H60</f>
        <v>100</v>
      </c>
      <c r="I59" s="360">
        <f t="shared" si="5"/>
        <v>0</v>
      </c>
      <c r="J59" s="360">
        <f t="shared" si="5"/>
        <v>100</v>
      </c>
      <c r="K59" s="251">
        <v>50</v>
      </c>
      <c r="L59" s="360"/>
      <c r="M59" s="360">
        <v>0</v>
      </c>
      <c r="N59" s="254">
        <f>N60</f>
        <v>20</v>
      </c>
    </row>
    <row r="60" spans="1:14" ht="21.75" customHeight="1" x14ac:dyDescent="0.2">
      <c r="A60" s="369" t="s">
        <v>361</v>
      </c>
      <c r="B60" s="248" t="s">
        <v>257</v>
      </c>
      <c r="C60" s="249" t="s">
        <v>138</v>
      </c>
      <c r="D60" s="258" t="s">
        <v>182</v>
      </c>
      <c r="E60" s="258" t="s">
        <v>545</v>
      </c>
      <c r="F60" s="258" t="s">
        <v>258</v>
      </c>
      <c r="G60" s="346"/>
      <c r="H60" s="360">
        <f t="shared" si="5"/>
        <v>100</v>
      </c>
      <c r="I60" s="360">
        <f t="shared" si="5"/>
        <v>0</v>
      </c>
      <c r="J60" s="360">
        <f t="shared" si="5"/>
        <v>100</v>
      </c>
      <c r="K60" s="251">
        <v>50</v>
      </c>
      <c r="L60" s="360"/>
      <c r="M60" s="360">
        <v>0</v>
      </c>
      <c r="N60" s="254">
        <v>20</v>
      </c>
    </row>
    <row r="61" spans="1:14" ht="17.25" customHeight="1" x14ac:dyDescent="0.2">
      <c r="A61" s="357" t="s">
        <v>231</v>
      </c>
      <c r="B61" s="358" t="s">
        <v>30</v>
      </c>
      <c r="C61" s="346" t="s">
        <v>138</v>
      </c>
      <c r="D61" s="346" t="s">
        <v>183</v>
      </c>
      <c r="E61" s="346"/>
      <c r="F61" s="346"/>
      <c r="G61" s="249"/>
      <c r="H61" s="250">
        <v>100</v>
      </c>
      <c r="I61" s="250"/>
      <c r="J61" s="250">
        <v>100</v>
      </c>
      <c r="K61" s="368" t="e">
        <f>#REF!+K62+K68+K77+K83+K80</f>
        <v>#REF!</v>
      </c>
      <c r="L61" s="368" t="e">
        <f>#REF!+L62+L68+L77+L83+L80</f>
        <v>#REF!</v>
      </c>
      <c r="M61" s="368" t="e">
        <f>#REF!+M62+M68+M77+M83+M80</f>
        <v>#REF!</v>
      </c>
      <c r="N61" s="353">
        <f>N65+N68+N71+N77+N83+N80+N86+N62+N89+N74</f>
        <v>2655.1</v>
      </c>
    </row>
    <row r="62" spans="1:14" ht="39" customHeight="1" x14ac:dyDescent="0.2">
      <c r="A62" s="357" t="s">
        <v>459</v>
      </c>
      <c r="B62" s="358" t="s">
        <v>167</v>
      </c>
      <c r="C62" s="346" t="s">
        <v>138</v>
      </c>
      <c r="D62" s="346" t="s">
        <v>183</v>
      </c>
      <c r="E62" s="346" t="s">
        <v>549</v>
      </c>
      <c r="F62" s="346"/>
      <c r="G62" s="346"/>
      <c r="H62" s="360">
        <f>H64</f>
        <v>60</v>
      </c>
      <c r="I62" s="360">
        <f t="shared" ref="I62:N62" si="6">I64</f>
        <v>15</v>
      </c>
      <c r="J62" s="360">
        <f t="shared" si="6"/>
        <v>60</v>
      </c>
      <c r="K62" s="352">
        <f t="shared" si="6"/>
        <v>100</v>
      </c>
      <c r="L62" s="352">
        <f t="shared" si="6"/>
        <v>45</v>
      </c>
      <c r="M62" s="352">
        <f t="shared" si="6"/>
        <v>100</v>
      </c>
      <c r="N62" s="353">
        <f t="shared" si="6"/>
        <v>35.5</v>
      </c>
    </row>
    <row r="63" spans="1:14" ht="35.25" customHeight="1" x14ac:dyDescent="0.2">
      <c r="A63" s="262" t="s">
        <v>75</v>
      </c>
      <c r="B63" s="257" t="s">
        <v>349</v>
      </c>
      <c r="C63" s="249" t="s">
        <v>138</v>
      </c>
      <c r="D63" s="249" t="s">
        <v>183</v>
      </c>
      <c r="E63" s="249" t="s">
        <v>549</v>
      </c>
      <c r="F63" s="249" t="s">
        <v>348</v>
      </c>
      <c r="G63" s="249"/>
      <c r="H63" s="249" t="e">
        <f>[2]роспись!H47</f>
        <v>#REF!</v>
      </c>
      <c r="I63" s="250">
        <v>15</v>
      </c>
      <c r="J63" s="250">
        <v>60</v>
      </c>
      <c r="K63" s="251">
        <v>100</v>
      </c>
      <c r="L63" s="371">
        <v>45</v>
      </c>
      <c r="M63" s="372">
        <v>100</v>
      </c>
      <c r="N63" s="254">
        <f>N64</f>
        <v>35.5</v>
      </c>
    </row>
    <row r="64" spans="1:14" ht="30.75" customHeight="1" x14ac:dyDescent="0.2">
      <c r="A64" s="262" t="s">
        <v>363</v>
      </c>
      <c r="B64" s="248" t="s">
        <v>314</v>
      </c>
      <c r="C64" s="249" t="s">
        <v>138</v>
      </c>
      <c r="D64" s="249" t="s">
        <v>183</v>
      </c>
      <c r="E64" s="249" t="s">
        <v>549</v>
      </c>
      <c r="F64" s="249" t="s">
        <v>256</v>
      </c>
      <c r="G64" s="249"/>
      <c r="H64" s="249">
        <f>[2]роспись!H48</f>
        <v>60</v>
      </c>
      <c r="I64" s="250">
        <v>15</v>
      </c>
      <c r="J64" s="250">
        <v>60</v>
      </c>
      <c r="K64" s="251">
        <v>100</v>
      </c>
      <c r="L64" s="371">
        <v>45</v>
      </c>
      <c r="M64" s="372">
        <v>100</v>
      </c>
      <c r="N64" s="254">
        <v>35.5</v>
      </c>
    </row>
    <row r="65" spans="1:20" ht="22.5" customHeight="1" x14ac:dyDescent="0.2">
      <c r="A65" s="357" t="s">
        <v>460</v>
      </c>
      <c r="B65" s="358" t="s">
        <v>435</v>
      </c>
      <c r="C65" s="346" t="s">
        <v>138</v>
      </c>
      <c r="D65" s="346" t="s">
        <v>183</v>
      </c>
      <c r="E65" s="346" t="s">
        <v>550</v>
      </c>
      <c r="F65" s="346"/>
      <c r="G65" s="346"/>
      <c r="H65" s="347" t="e">
        <f>H67</f>
        <v>#REF!</v>
      </c>
      <c r="I65" s="347" t="e">
        <f t="shared" ref="I65:N65" si="7">I67</f>
        <v>#REF!</v>
      </c>
      <c r="J65" s="347" t="e">
        <f t="shared" si="7"/>
        <v>#REF!</v>
      </c>
      <c r="K65" s="352">
        <f t="shared" si="7"/>
        <v>400</v>
      </c>
      <c r="L65" s="352">
        <f t="shared" si="7"/>
        <v>323.89999999999998</v>
      </c>
      <c r="M65" s="352">
        <f t="shared" si="7"/>
        <v>400</v>
      </c>
      <c r="N65" s="353">
        <f t="shared" si="7"/>
        <v>1160.3</v>
      </c>
    </row>
    <row r="66" spans="1:20" ht="27" customHeight="1" x14ac:dyDescent="0.2">
      <c r="A66" s="262" t="s">
        <v>461</v>
      </c>
      <c r="B66" s="257" t="s">
        <v>349</v>
      </c>
      <c r="C66" s="249" t="s">
        <v>138</v>
      </c>
      <c r="D66" s="249" t="s">
        <v>183</v>
      </c>
      <c r="E66" s="249" t="s">
        <v>550</v>
      </c>
      <c r="F66" s="249" t="s">
        <v>348</v>
      </c>
      <c r="G66" s="249"/>
      <c r="H66" s="250" t="e">
        <f>#REF!+H67</f>
        <v>#REF!</v>
      </c>
      <c r="I66" s="250" t="e">
        <f>#REF!+I67</f>
        <v>#REF!</v>
      </c>
      <c r="J66" s="250" t="e">
        <f>#REF!+J67</f>
        <v>#REF!</v>
      </c>
      <c r="K66" s="251">
        <v>400</v>
      </c>
      <c r="L66" s="250">
        <v>323.89999999999998</v>
      </c>
      <c r="M66" s="250">
        <v>400</v>
      </c>
      <c r="N66" s="254">
        <f>N67</f>
        <v>1160.3</v>
      </c>
    </row>
    <row r="67" spans="1:20" ht="36" x14ac:dyDescent="0.2">
      <c r="A67" s="262" t="s">
        <v>462</v>
      </c>
      <c r="B67" s="248" t="s">
        <v>314</v>
      </c>
      <c r="C67" s="249" t="s">
        <v>138</v>
      </c>
      <c r="D67" s="249" t="s">
        <v>183</v>
      </c>
      <c r="E67" s="249" t="s">
        <v>550</v>
      </c>
      <c r="F67" s="249" t="s">
        <v>256</v>
      </c>
      <c r="G67" s="249"/>
      <c r="H67" s="250" t="e">
        <f>#REF!+H83</f>
        <v>#REF!</v>
      </c>
      <c r="I67" s="250" t="e">
        <f>#REF!+I83</f>
        <v>#REF!</v>
      </c>
      <c r="J67" s="250" t="e">
        <f>#REF!+J83</f>
        <v>#REF!</v>
      </c>
      <c r="K67" s="251">
        <v>400</v>
      </c>
      <c r="L67" s="250">
        <v>323.89999999999998</v>
      </c>
      <c r="M67" s="250">
        <v>400</v>
      </c>
      <c r="N67" s="254">
        <v>1160.3</v>
      </c>
      <c r="T67" s="320">
        <f>'доходы 2018'!J65-'Вед. 2017 (прил 4)'!N194</f>
        <v>-2006.7999999999884</v>
      </c>
    </row>
    <row r="68" spans="1:20" ht="50.25" customHeight="1" x14ac:dyDescent="0.2">
      <c r="A68" s="357" t="s">
        <v>525</v>
      </c>
      <c r="B68" s="358" t="s">
        <v>434</v>
      </c>
      <c r="C68" s="346" t="s">
        <v>138</v>
      </c>
      <c r="D68" s="346" t="s">
        <v>183</v>
      </c>
      <c r="E68" s="346" t="s">
        <v>556</v>
      </c>
      <c r="F68" s="346"/>
      <c r="G68" s="346"/>
      <c r="H68" s="347" t="e">
        <f>H70</f>
        <v>#REF!</v>
      </c>
      <c r="I68" s="347" t="e">
        <f t="shared" ref="I68:N68" si="8">I70</f>
        <v>#REF!</v>
      </c>
      <c r="J68" s="347" t="e">
        <f t="shared" si="8"/>
        <v>#REF!</v>
      </c>
      <c r="K68" s="352">
        <f t="shared" si="8"/>
        <v>400</v>
      </c>
      <c r="L68" s="352">
        <f t="shared" si="8"/>
        <v>323.89999999999998</v>
      </c>
      <c r="M68" s="352">
        <f t="shared" si="8"/>
        <v>400</v>
      </c>
      <c r="N68" s="353">
        <f t="shared" si="8"/>
        <v>1117.2</v>
      </c>
    </row>
    <row r="69" spans="1:20" ht="27" customHeight="1" x14ac:dyDescent="0.2">
      <c r="A69" s="262" t="s">
        <v>463</v>
      </c>
      <c r="B69" s="257" t="s">
        <v>349</v>
      </c>
      <c r="C69" s="249" t="s">
        <v>138</v>
      </c>
      <c r="D69" s="249" t="s">
        <v>183</v>
      </c>
      <c r="E69" s="249" t="s">
        <v>556</v>
      </c>
      <c r="F69" s="249" t="s">
        <v>348</v>
      </c>
      <c r="G69" s="249"/>
      <c r="H69" s="250" t="e">
        <f>#REF!+H70</f>
        <v>#REF!</v>
      </c>
      <c r="I69" s="250" t="e">
        <f>#REF!+I70</f>
        <v>#REF!</v>
      </c>
      <c r="J69" s="250" t="e">
        <f>#REF!+J70</f>
        <v>#REF!</v>
      </c>
      <c r="K69" s="251">
        <v>400</v>
      </c>
      <c r="L69" s="250">
        <v>323.89999999999998</v>
      </c>
      <c r="M69" s="250">
        <v>400</v>
      </c>
      <c r="N69" s="254">
        <f>N70</f>
        <v>1117.2</v>
      </c>
    </row>
    <row r="70" spans="1:20" ht="30.75" customHeight="1" x14ac:dyDescent="0.2">
      <c r="A70" s="262" t="s">
        <v>464</v>
      </c>
      <c r="B70" s="248" t="s">
        <v>314</v>
      </c>
      <c r="C70" s="249" t="s">
        <v>138</v>
      </c>
      <c r="D70" s="249" t="s">
        <v>183</v>
      </c>
      <c r="E70" s="249" t="s">
        <v>556</v>
      </c>
      <c r="F70" s="249" t="s">
        <v>256</v>
      </c>
      <c r="G70" s="249"/>
      <c r="H70" s="250" t="e">
        <f>#REF!+H77</f>
        <v>#REF!</v>
      </c>
      <c r="I70" s="250" t="e">
        <f>#REF!+I77</f>
        <v>#REF!</v>
      </c>
      <c r="J70" s="250" t="e">
        <f>#REF!+J77</f>
        <v>#REF!</v>
      </c>
      <c r="K70" s="251">
        <v>400</v>
      </c>
      <c r="L70" s="250">
        <v>323.89999999999998</v>
      </c>
      <c r="M70" s="250">
        <v>400</v>
      </c>
      <c r="N70" s="254">
        <v>1117.2</v>
      </c>
    </row>
    <row r="71" spans="1:20" ht="48" x14ac:dyDescent="0.2">
      <c r="A71" s="357" t="s">
        <v>465</v>
      </c>
      <c r="B71" s="358" t="s">
        <v>512</v>
      </c>
      <c r="C71" s="346" t="s">
        <v>138</v>
      </c>
      <c r="D71" s="346" t="s">
        <v>183</v>
      </c>
      <c r="E71" s="346" t="s">
        <v>551</v>
      </c>
      <c r="F71" s="346"/>
      <c r="G71" s="249"/>
      <c r="H71" s="250">
        <f>H73</f>
        <v>70</v>
      </c>
      <c r="I71" s="250">
        <f t="shared" ref="I71:N71" si="9">I73</f>
        <v>0</v>
      </c>
      <c r="J71" s="250">
        <f t="shared" si="9"/>
        <v>20</v>
      </c>
      <c r="K71" s="352">
        <f t="shared" si="9"/>
        <v>60</v>
      </c>
      <c r="L71" s="352">
        <f t="shared" si="9"/>
        <v>30</v>
      </c>
      <c r="M71" s="352">
        <f t="shared" si="9"/>
        <v>60</v>
      </c>
      <c r="N71" s="353">
        <f t="shared" si="9"/>
        <v>29.6</v>
      </c>
    </row>
    <row r="72" spans="1:20" ht="30.75" customHeight="1" x14ac:dyDescent="0.2">
      <c r="A72" s="262" t="s">
        <v>466</v>
      </c>
      <c r="B72" s="257" t="s">
        <v>349</v>
      </c>
      <c r="C72" s="249" t="s">
        <v>138</v>
      </c>
      <c r="D72" s="249" t="s">
        <v>183</v>
      </c>
      <c r="E72" s="249" t="s">
        <v>551</v>
      </c>
      <c r="F72" s="249" t="s">
        <v>348</v>
      </c>
      <c r="G72" s="249"/>
      <c r="H72" s="250">
        <v>70</v>
      </c>
      <c r="I72" s="250"/>
      <c r="J72" s="250">
        <v>20</v>
      </c>
      <c r="K72" s="251">
        <v>60</v>
      </c>
      <c r="L72" s="264">
        <v>30</v>
      </c>
      <c r="M72" s="265">
        <v>60</v>
      </c>
      <c r="N72" s="254">
        <f>N73</f>
        <v>29.6</v>
      </c>
    </row>
    <row r="73" spans="1:20" ht="30" customHeight="1" x14ac:dyDescent="0.2">
      <c r="A73" s="262" t="s">
        <v>467</v>
      </c>
      <c r="B73" s="248" t="s">
        <v>314</v>
      </c>
      <c r="C73" s="249" t="s">
        <v>138</v>
      </c>
      <c r="D73" s="249" t="s">
        <v>183</v>
      </c>
      <c r="E73" s="249" t="s">
        <v>551</v>
      </c>
      <c r="F73" s="249" t="s">
        <v>256</v>
      </c>
      <c r="G73" s="249"/>
      <c r="H73" s="250">
        <v>70</v>
      </c>
      <c r="I73" s="250"/>
      <c r="J73" s="250">
        <v>20</v>
      </c>
      <c r="K73" s="251">
        <v>60</v>
      </c>
      <c r="L73" s="264">
        <v>30</v>
      </c>
      <c r="M73" s="265">
        <v>60</v>
      </c>
      <c r="N73" s="254">
        <v>29.6</v>
      </c>
    </row>
    <row r="74" spans="1:20" ht="30" customHeight="1" x14ac:dyDescent="0.2">
      <c r="A74" s="357" t="s">
        <v>468</v>
      </c>
      <c r="B74" s="351" t="s">
        <v>654</v>
      </c>
      <c r="C74" s="346" t="s">
        <v>138</v>
      </c>
      <c r="D74" s="346" t="s">
        <v>183</v>
      </c>
      <c r="E74" s="346" t="s">
        <v>655</v>
      </c>
      <c r="F74" s="346"/>
      <c r="G74" s="346"/>
      <c r="H74" s="347"/>
      <c r="I74" s="347"/>
      <c r="J74" s="347"/>
      <c r="K74" s="352"/>
      <c r="L74" s="508"/>
      <c r="M74" s="509"/>
      <c r="N74" s="353">
        <f>N75</f>
        <v>120</v>
      </c>
    </row>
    <row r="75" spans="1:20" ht="30" customHeight="1" x14ac:dyDescent="0.2">
      <c r="A75" s="305" t="s">
        <v>469</v>
      </c>
      <c r="B75" s="257" t="s">
        <v>349</v>
      </c>
      <c r="C75" s="249" t="s">
        <v>138</v>
      </c>
      <c r="D75" s="249" t="s">
        <v>183</v>
      </c>
      <c r="E75" s="249" t="s">
        <v>655</v>
      </c>
      <c r="F75" s="249" t="s">
        <v>348</v>
      </c>
      <c r="G75" s="249"/>
      <c r="H75" s="250"/>
      <c r="I75" s="250"/>
      <c r="J75" s="250"/>
      <c r="K75" s="251"/>
      <c r="L75" s="507"/>
      <c r="M75" s="265"/>
      <c r="N75" s="254">
        <f>N76</f>
        <v>120</v>
      </c>
    </row>
    <row r="76" spans="1:20" ht="30" customHeight="1" x14ac:dyDescent="0.2">
      <c r="A76" s="305" t="s">
        <v>470</v>
      </c>
      <c r="B76" s="248" t="s">
        <v>314</v>
      </c>
      <c r="C76" s="249" t="s">
        <v>138</v>
      </c>
      <c r="D76" s="249" t="s">
        <v>183</v>
      </c>
      <c r="E76" s="249" t="s">
        <v>655</v>
      </c>
      <c r="F76" s="249" t="s">
        <v>256</v>
      </c>
      <c r="G76" s="249"/>
      <c r="H76" s="250"/>
      <c r="I76" s="250"/>
      <c r="J76" s="250"/>
      <c r="K76" s="251"/>
      <c r="L76" s="507"/>
      <c r="M76" s="265"/>
      <c r="N76" s="254">
        <v>120</v>
      </c>
    </row>
    <row r="77" spans="1:20" ht="36" x14ac:dyDescent="0.2">
      <c r="A77" s="357" t="s">
        <v>471</v>
      </c>
      <c r="B77" s="358" t="s">
        <v>259</v>
      </c>
      <c r="C77" s="346" t="s">
        <v>138</v>
      </c>
      <c r="D77" s="346" t="s">
        <v>183</v>
      </c>
      <c r="E77" s="346" t="s">
        <v>553</v>
      </c>
      <c r="F77" s="346"/>
      <c r="G77" s="249"/>
      <c r="H77" s="250">
        <f>H79</f>
        <v>70</v>
      </c>
      <c r="I77" s="250">
        <f t="shared" ref="I77:N77" si="10">I79</f>
        <v>0</v>
      </c>
      <c r="J77" s="250">
        <f t="shared" si="10"/>
        <v>20</v>
      </c>
      <c r="K77" s="352">
        <f t="shared" si="10"/>
        <v>60</v>
      </c>
      <c r="L77" s="352">
        <f t="shared" si="10"/>
        <v>30</v>
      </c>
      <c r="M77" s="352">
        <f t="shared" si="10"/>
        <v>60</v>
      </c>
      <c r="N77" s="353">
        <f t="shared" si="10"/>
        <v>72</v>
      </c>
    </row>
    <row r="78" spans="1:20" ht="24" x14ac:dyDescent="0.2">
      <c r="A78" s="262" t="s">
        <v>472</v>
      </c>
      <c r="B78" s="304" t="s">
        <v>354</v>
      </c>
      <c r="C78" s="249" t="s">
        <v>138</v>
      </c>
      <c r="D78" s="249" t="s">
        <v>183</v>
      </c>
      <c r="E78" s="249" t="s">
        <v>553</v>
      </c>
      <c r="F78" s="249" t="s">
        <v>353</v>
      </c>
      <c r="G78" s="249"/>
      <c r="H78" s="250">
        <v>70</v>
      </c>
      <c r="I78" s="250"/>
      <c r="J78" s="250">
        <v>20</v>
      </c>
      <c r="K78" s="251">
        <v>60</v>
      </c>
      <c r="L78" s="264">
        <v>30</v>
      </c>
      <c r="M78" s="265">
        <v>60</v>
      </c>
      <c r="N78" s="254">
        <f>N79</f>
        <v>72</v>
      </c>
    </row>
    <row r="79" spans="1:20" ht="24" x14ac:dyDescent="0.2">
      <c r="A79" s="262" t="s">
        <v>473</v>
      </c>
      <c r="B79" s="304" t="s">
        <v>356</v>
      </c>
      <c r="C79" s="249" t="s">
        <v>138</v>
      </c>
      <c r="D79" s="249" t="s">
        <v>183</v>
      </c>
      <c r="E79" s="249" t="s">
        <v>553</v>
      </c>
      <c r="F79" s="249" t="s">
        <v>355</v>
      </c>
      <c r="G79" s="249"/>
      <c r="H79" s="250">
        <v>70</v>
      </c>
      <c r="I79" s="250"/>
      <c r="J79" s="250">
        <v>20</v>
      </c>
      <c r="K79" s="251">
        <v>60</v>
      </c>
      <c r="L79" s="264">
        <v>30</v>
      </c>
      <c r="M79" s="265">
        <v>60</v>
      </c>
      <c r="N79" s="254">
        <v>72</v>
      </c>
    </row>
    <row r="80" spans="1:20" ht="31.5" customHeight="1" x14ac:dyDescent="0.2">
      <c r="A80" s="357" t="s">
        <v>513</v>
      </c>
      <c r="B80" s="358" t="s">
        <v>637</v>
      </c>
      <c r="C80" s="346" t="s">
        <v>138</v>
      </c>
      <c r="D80" s="346" t="s">
        <v>183</v>
      </c>
      <c r="E80" s="346" t="s">
        <v>554</v>
      </c>
      <c r="F80" s="346"/>
      <c r="G80" s="249"/>
      <c r="H80" s="250"/>
      <c r="I80" s="250"/>
      <c r="J80" s="250"/>
      <c r="K80" s="373">
        <f>K82</f>
        <v>170</v>
      </c>
      <c r="L80" s="373">
        <f>L82</f>
        <v>150</v>
      </c>
      <c r="M80" s="373">
        <f>M82</f>
        <v>170</v>
      </c>
      <c r="N80" s="374">
        <f>N82</f>
        <v>18.5</v>
      </c>
    </row>
    <row r="81" spans="1:14" ht="30.75" customHeight="1" x14ac:dyDescent="0.2">
      <c r="A81" s="262" t="s">
        <v>514</v>
      </c>
      <c r="B81" s="257" t="s">
        <v>349</v>
      </c>
      <c r="C81" s="282" t="s">
        <v>138</v>
      </c>
      <c r="D81" s="282" t="s">
        <v>183</v>
      </c>
      <c r="E81" s="249" t="s">
        <v>554</v>
      </c>
      <c r="F81" s="282" t="s">
        <v>348</v>
      </c>
      <c r="G81" s="249"/>
      <c r="H81" s="250"/>
      <c r="I81" s="250"/>
      <c r="J81" s="250"/>
      <c r="K81" s="298">
        <v>170</v>
      </c>
      <c r="L81" s="250">
        <v>150</v>
      </c>
      <c r="M81" s="250">
        <v>170</v>
      </c>
      <c r="N81" s="254">
        <f>N82</f>
        <v>18.5</v>
      </c>
    </row>
    <row r="82" spans="1:14" ht="31.5" customHeight="1" x14ac:dyDescent="0.2">
      <c r="A82" s="262" t="s">
        <v>515</v>
      </c>
      <c r="B82" s="248" t="s">
        <v>314</v>
      </c>
      <c r="C82" s="282" t="s">
        <v>138</v>
      </c>
      <c r="D82" s="282" t="s">
        <v>183</v>
      </c>
      <c r="E82" s="249" t="s">
        <v>554</v>
      </c>
      <c r="F82" s="282" t="s">
        <v>256</v>
      </c>
      <c r="G82" s="249"/>
      <c r="H82" s="250"/>
      <c r="I82" s="250"/>
      <c r="J82" s="250"/>
      <c r="K82" s="298">
        <v>170</v>
      </c>
      <c r="L82" s="250">
        <v>150</v>
      </c>
      <c r="M82" s="250">
        <v>170</v>
      </c>
      <c r="N82" s="254">
        <v>18.5</v>
      </c>
    </row>
    <row r="83" spans="1:14" ht="51.75" customHeight="1" x14ac:dyDescent="0.2">
      <c r="A83" s="357" t="s">
        <v>535</v>
      </c>
      <c r="B83" s="358" t="s">
        <v>526</v>
      </c>
      <c r="C83" s="346" t="s">
        <v>138</v>
      </c>
      <c r="D83" s="346" t="s">
        <v>183</v>
      </c>
      <c r="E83" s="346" t="s">
        <v>552</v>
      </c>
      <c r="F83" s="346"/>
      <c r="G83" s="346"/>
      <c r="H83" s="347" t="e">
        <f>H85+H93+#REF!+H94</f>
        <v>#REF!</v>
      </c>
      <c r="I83" s="347" t="e">
        <f>I85+I93+#REF!+I94</f>
        <v>#REF!</v>
      </c>
      <c r="J83" s="347" t="e">
        <f>J85+J93+#REF!+J94</f>
        <v>#REF!</v>
      </c>
      <c r="K83" s="352">
        <f>K85</f>
        <v>92</v>
      </c>
      <c r="L83" s="352">
        <f>L85</f>
        <v>48.2</v>
      </c>
      <c r="M83" s="352">
        <f>M85</f>
        <v>92</v>
      </c>
      <c r="N83" s="353">
        <f>N85</f>
        <v>80</v>
      </c>
    </row>
    <row r="84" spans="1:14" ht="35.25" customHeight="1" x14ac:dyDescent="0.2">
      <c r="A84" s="262" t="s">
        <v>536</v>
      </c>
      <c r="B84" s="257" t="s">
        <v>349</v>
      </c>
      <c r="C84" s="249" t="s">
        <v>138</v>
      </c>
      <c r="D84" s="249" t="s">
        <v>183</v>
      </c>
      <c r="E84" s="249" t="s">
        <v>552</v>
      </c>
      <c r="F84" s="249" t="s">
        <v>348</v>
      </c>
      <c r="G84" s="249"/>
      <c r="H84" s="250"/>
      <c r="I84" s="250"/>
      <c r="J84" s="250"/>
      <c r="K84" s="251">
        <v>92</v>
      </c>
      <c r="L84" s="250">
        <v>48.2</v>
      </c>
      <c r="M84" s="250">
        <v>92</v>
      </c>
      <c r="N84" s="254">
        <f>N85</f>
        <v>80</v>
      </c>
    </row>
    <row r="85" spans="1:14" ht="27.75" customHeight="1" x14ac:dyDescent="0.2">
      <c r="A85" s="262" t="s">
        <v>537</v>
      </c>
      <c r="B85" s="248" t="s">
        <v>314</v>
      </c>
      <c r="C85" s="249" t="s">
        <v>138</v>
      </c>
      <c r="D85" s="249" t="s">
        <v>183</v>
      </c>
      <c r="E85" s="249" t="s">
        <v>552</v>
      </c>
      <c r="F85" s="249" t="s">
        <v>256</v>
      </c>
      <c r="G85" s="249"/>
      <c r="H85" s="250"/>
      <c r="I85" s="250"/>
      <c r="J85" s="250"/>
      <c r="K85" s="251">
        <v>92</v>
      </c>
      <c r="L85" s="250">
        <v>48.2</v>
      </c>
      <c r="M85" s="250">
        <v>92</v>
      </c>
      <c r="N85" s="254">
        <v>80</v>
      </c>
    </row>
    <row r="86" spans="1:14" ht="69" hidden="1" customHeight="1" x14ac:dyDescent="0.2">
      <c r="A86" s="492" t="s">
        <v>633</v>
      </c>
      <c r="B86" s="358" t="s">
        <v>436</v>
      </c>
      <c r="C86" s="346" t="s">
        <v>138</v>
      </c>
      <c r="D86" s="346" t="s">
        <v>183</v>
      </c>
      <c r="E86" s="346" t="s">
        <v>555</v>
      </c>
      <c r="F86" s="346"/>
      <c r="G86" s="346"/>
      <c r="H86" s="347" t="e">
        <f>H88+H97+#REF!+#REF!</f>
        <v>#REF!</v>
      </c>
      <c r="I86" s="347" t="e">
        <f>I88+I97+#REF!+#REF!</f>
        <v>#REF!</v>
      </c>
      <c r="J86" s="347" t="e">
        <f>J88+J97+#REF!+#REF!</f>
        <v>#REF!</v>
      </c>
      <c r="K86" s="352">
        <f>K88</f>
        <v>92</v>
      </c>
      <c r="L86" s="352">
        <f>L88</f>
        <v>48.2</v>
      </c>
      <c r="M86" s="352">
        <f>M88</f>
        <v>92</v>
      </c>
      <c r="N86" s="353">
        <f>N88</f>
        <v>0</v>
      </c>
    </row>
    <row r="87" spans="1:14" ht="26.25" hidden="1" customHeight="1" x14ac:dyDescent="0.2">
      <c r="A87" s="493" t="s">
        <v>634</v>
      </c>
      <c r="B87" s="257" t="s">
        <v>349</v>
      </c>
      <c r="C87" s="249" t="s">
        <v>138</v>
      </c>
      <c r="D87" s="249" t="s">
        <v>183</v>
      </c>
      <c r="E87" s="249" t="s">
        <v>555</v>
      </c>
      <c r="F87" s="249" t="s">
        <v>348</v>
      </c>
      <c r="G87" s="249"/>
      <c r="H87" s="250"/>
      <c r="I87" s="250"/>
      <c r="J87" s="250"/>
      <c r="K87" s="251">
        <v>92</v>
      </c>
      <c r="L87" s="250">
        <v>48.2</v>
      </c>
      <c r="M87" s="250">
        <v>92</v>
      </c>
      <c r="N87" s="254">
        <f>N88</f>
        <v>0</v>
      </c>
    </row>
    <row r="88" spans="1:14" ht="27.75" hidden="1" customHeight="1" x14ac:dyDescent="0.2">
      <c r="A88" s="493" t="s">
        <v>635</v>
      </c>
      <c r="B88" s="248" t="s">
        <v>314</v>
      </c>
      <c r="C88" s="249" t="s">
        <v>138</v>
      </c>
      <c r="D88" s="249" t="s">
        <v>183</v>
      </c>
      <c r="E88" s="249" t="s">
        <v>555</v>
      </c>
      <c r="F88" s="249" t="s">
        <v>256</v>
      </c>
      <c r="G88" s="249"/>
      <c r="H88" s="250"/>
      <c r="I88" s="250"/>
      <c r="J88" s="250"/>
      <c r="K88" s="251">
        <v>92</v>
      </c>
      <c r="L88" s="250">
        <v>48.2</v>
      </c>
      <c r="M88" s="250">
        <v>92</v>
      </c>
      <c r="N88" s="254">
        <v>0</v>
      </c>
    </row>
    <row r="89" spans="1:14" ht="48.75" customHeight="1" x14ac:dyDescent="0.2">
      <c r="A89" s="492" t="s">
        <v>651</v>
      </c>
      <c r="B89" s="351" t="s">
        <v>636</v>
      </c>
      <c r="C89" s="346" t="s">
        <v>138</v>
      </c>
      <c r="D89" s="346" t="s">
        <v>183</v>
      </c>
      <c r="E89" s="346" t="s">
        <v>638</v>
      </c>
      <c r="F89" s="346" t="s">
        <v>256</v>
      </c>
      <c r="G89" s="346"/>
      <c r="H89" s="347"/>
      <c r="I89" s="347"/>
      <c r="J89" s="347"/>
      <c r="K89" s="347"/>
      <c r="L89" s="347"/>
      <c r="M89" s="347"/>
      <c r="N89" s="494">
        <f>N90</f>
        <v>22</v>
      </c>
    </row>
    <row r="90" spans="1:14" ht="27.75" customHeight="1" x14ac:dyDescent="0.2">
      <c r="A90" s="493" t="s">
        <v>652</v>
      </c>
      <c r="B90" s="257" t="s">
        <v>349</v>
      </c>
      <c r="C90" s="249" t="s">
        <v>138</v>
      </c>
      <c r="D90" s="249" t="s">
        <v>183</v>
      </c>
      <c r="E90" s="249" t="s">
        <v>638</v>
      </c>
      <c r="F90" s="249" t="s">
        <v>348</v>
      </c>
      <c r="G90" s="249"/>
      <c r="H90" s="250"/>
      <c r="I90" s="250"/>
      <c r="J90" s="250"/>
      <c r="K90" s="250"/>
      <c r="L90" s="250"/>
      <c r="M90" s="250"/>
      <c r="N90" s="414">
        <f>N91</f>
        <v>22</v>
      </c>
    </row>
    <row r="91" spans="1:14" ht="27.75" customHeight="1" x14ac:dyDescent="0.2">
      <c r="A91" s="493" t="s">
        <v>653</v>
      </c>
      <c r="B91" s="248" t="s">
        <v>314</v>
      </c>
      <c r="C91" s="249" t="s">
        <v>138</v>
      </c>
      <c r="D91" s="249" t="s">
        <v>183</v>
      </c>
      <c r="E91" s="249" t="s">
        <v>638</v>
      </c>
      <c r="F91" s="249" t="s">
        <v>256</v>
      </c>
      <c r="G91" s="249"/>
      <c r="H91" s="250"/>
      <c r="I91" s="250"/>
      <c r="J91" s="250"/>
      <c r="K91" s="250"/>
      <c r="L91" s="250"/>
      <c r="M91" s="250"/>
      <c r="N91" s="414">
        <v>22</v>
      </c>
    </row>
    <row r="92" spans="1:14" ht="28.5" customHeight="1" thickBot="1" x14ac:dyDescent="0.25">
      <c r="A92" s="487" t="s">
        <v>50</v>
      </c>
      <c r="B92" s="488" t="s">
        <v>37</v>
      </c>
      <c r="C92" s="489" t="s">
        <v>138</v>
      </c>
      <c r="D92" s="489" t="s">
        <v>31</v>
      </c>
      <c r="E92" s="489"/>
      <c r="F92" s="489"/>
      <c r="G92" s="345"/>
      <c r="H92" s="356" t="e">
        <f>H93+#REF!+H99+H106</f>
        <v>#REF!</v>
      </c>
      <c r="I92" s="356" t="e">
        <f>I93+#REF!+I99+I106</f>
        <v>#REF!</v>
      </c>
      <c r="J92" s="356" t="e">
        <f>J93+#REF!+J99+J106</f>
        <v>#REF!</v>
      </c>
      <c r="K92" s="490" t="e">
        <f>K93</f>
        <v>#REF!</v>
      </c>
      <c r="L92" s="490" t="e">
        <f>L93</f>
        <v>#REF!</v>
      </c>
      <c r="M92" s="490" t="e">
        <f>M93</f>
        <v>#REF!</v>
      </c>
      <c r="N92" s="491">
        <f>N93</f>
        <v>182</v>
      </c>
    </row>
    <row r="93" spans="1:14" ht="39.75" customHeight="1" x14ac:dyDescent="0.2">
      <c r="A93" s="380" t="s">
        <v>64</v>
      </c>
      <c r="B93" s="381" t="s">
        <v>180</v>
      </c>
      <c r="C93" s="345" t="s">
        <v>138</v>
      </c>
      <c r="D93" s="345" t="s">
        <v>21</v>
      </c>
      <c r="E93" s="345"/>
      <c r="F93" s="345"/>
      <c r="G93" s="346"/>
      <c r="H93" s="347" t="e">
        <f>#REF!</f>
        <v>#REF!</v>
      </c>
      <c r="I93" s="347" t="e">
        <f>#REF!</f>
        <v>#REF!</v>
      </c>
      <c r="J93" s="347" t="e">
        <f>#REF!</f>
        <v>#REF!</v>
      </c>
      <c r="K93" s="348" t="e">
        <f>#REF!+K94</f>
        <v>#REF!</v>
      </c>
      <c r="L93" s="348" t="e">
        <f>#REF!+L94</f>
        <v>#REF!</v>
      </c>
      <c r="M93" s="348" t="e">
        <f>#REF!+M94</f>
        <v>#REF!</v>
      </c>
      <c r="N93" s="349">
        <f>N94+N97</f>
        <v>182</v>
      </c>
    </row>
    <row r="94" spans="1:14" ht="100.5" customHeight="1" x14ac:dyDescent="0.2">
      <c r="A94" s="363" t="s">
        <v>65</v>
      </c>
      <c r="B94" s="358" t="s">
        <v>443</v>
      </c>
      <c r="C94" s="346" t="s">
        <v>138</v>
      </c>
      <c r="D94" s="346" t="s">
        <v>21</v>
      </c>
      <c r="E94" s="393" t="s">
        <v>557</v>
      </c>
      <c r="F94" s="346"/>
      <c r="G94" s="346"/>
      <c r="H94" s="347">
        <f>[2]роспись!H63</f>
        <v>5320</v>
      </c>
      <c r="I94" s="347">
        <v>3277.5</v>
      </c>
      <c r="J94" s="347">
        <v>5320</v>
      </c>
      <c r="K94" s="352">
        <f>K99</f>
        <v>18</v>
      </c>
      <c r="L94" s="352">
        <f>L99</f>
        <v>0</v>
      </c>
      <c r="M94" s="352">
        <f>M99</f>
        <v>18</v>
      </c>
      <c r="N94" s="353">
        <f>N95</f>
        <v>140</v>
      </c>
    </row>
    <row r="95" spans="1:14" ht="36" customHeight="1" x14ac:dyDescent="0.2">
      <c r="A95" s="305" t="s">
        <v>168</v>
      </c>
      <c r="B95" s="257" t="s">
        <v>349</v>
      </c>
      <c r="C95" s="282" t="s">
        <v>138</v>
      </c>
      <c r="D95" s="282" t="s">
        <v>21</v>
      </c>
      <c r="E95" s="282" t="s">
        <v>557</v>
      </c>
      <c r="F95" s="282" t="s">
        <v>348</v>
      </c>
      <c r="G95" s="282"/>
      <c r="H95" s="283">
        <f>H99</f>
        <v>668</v>
      </c>
      <c r="I95" s="283">
        <f>I99</f>
        <v>480</v>
      </c>
      <c r="J95" s="283">
        <f>J99</f>
        <v>668</v>
      </c>
      <c r="K95" s="298">
        <v>18</v>
      </c>
      <c r="L95" s="283">
        <v>0</v>
      </c>
      <c r="M95" s="283">
        <v>18</v>
      </c>
      <c r="N95" s="299">
        <f>N96</f>
        <v>140</v>
      </c>
    </row>
    <row r="96" spans="1:14" ht="35.25" customHeight="1" x14ac:dyDescent="0.2">
      <c r="A96" s="305" t="s">
        <v>364</v>
      </c>
      <c r="B96" s="248" t="s">
        <v>314</v>
      </c>
      <c r="C96" s="282" t="s">
        <v>138</v>
      </c>
      <c r="D96" s="282" t="s">
        <v>21</v>
      </c>
      <c r="E96" s="282" t="s">
        <v>557</v>
      </c>
      <c r="F96" s="282" t="s">
        <v>256</v>
      </c>
      <c r="G96" s="282"/>
      <c r="H96" s="283">
        <f>H99</f>
        <v>668</v>
      </c>
      <c r="I96" s="283">
        <f>I99</f>
        <v>480</v>
      </c>
      <c r="J96" s="283">
        <f>J99</f>
        <v>668</v>
      </c>
      <c r="K96" s="298">
        <v>18</v>
      </c>
      <c r="L96" s="283">
        <v>0</v>
      </c>
      <c r="M96" s="283">
        <v>18</v>
      </c>
      <c r="N96" s="299">
        <v>140</v>
      </c>
    </row>
    <row r="97" spans="1:14" ht="65.25" customHeight="1" x14ac:dyDescent="0.2">
      <c r="A97" s="363" t="s">
        <v>387</v>
      </c>
      <c r="B97" s="358" t="s">
        <v>444</v>
      </c>
      <c r="C97" s="346" t="s">
        <v>138</v>
      </c>
      <c r="D97" s="346" t="s">
        <v>21</v>
      </c>
      <c r="E97" s="393" t="s">
        <v>558</v>
      </c>
      <c r="F97" s="346"/>
      <c r="G97" s="346"/>
      <c r="H97" s="347" t="e">
        <f>[2]роспись!H66</f>
        <v>#REF!</v>
      </c>
      <c r="I97" s="347">
        <v>3277.5</v>
      </c>
      <c r="J97" s="347">
        <v>5320</v>
      </c>
      <c r="K97" s="352" t="e">
        <f>K106</f>
        <v>#REF!</v>
      </c>
      <c r="L97" s="352" t="e">
        <f>L106</f>
        <v>#REF!</v>
      </c>
      <c r="M97" s="352" t="e">
        <f>M106</f>
        <v>#REF!</v>
      </c>
      <c r="N97" s="353">
        <f>N98</f>
        <v>42</v>
      </c>
    </row>
    <row r="98" spans="1:14" ht="33.75" customHeight="1" x14ac:dyDescent="0.2">
      <c r="A98" s="305" t="s">
        <v>388</v>
      </c>
      <c r="B98" s="257" t="s">
        <v>349</v>
      </c>
      <c r="C98" s="282" t="s">
        <v>138</v>
      </c>
      <c r="D98" s="282" t="s">
        <v>21</v>
      </c>
      <c r="E98" s="282" t="s">
        <v>558</v>
      </c>
      <c r="F98" s="282" t="s">
        <v>348</v>
      </c>
      <c r="G98" s="282"/>
      <c r="H98" s="283" t="e">
        <f>#REF!</f>
        <v>#REF!</v>
      </c>
      <c r="I98" s="283" t="e">
        <f>#REF!</f>
        <v>#REF!</v>
      </c>
      <c r="J98" s="283" t="e">
        <f>#REF!</f>
        <v>#REF!</v>
      </c>
      <c r="K98" s="298">
        <v>18</v>
      </c>
      <c r="L98" s="283">
        <v>0</v>
      </c>
      <c r="M98" s="283">
        <v>18</v>
      </c>
      <c r="N98" s="299">
        <f>N99</f>
        <v>42</v>
      </c>
    </row>
    <row r="99" spans="1:14" ht="27.75" customHeight="1" thickBot="1" x14ac:dyDescent="0.25">
      <c r="A99" s="305" t="s">
        <v>389</v>
      </c>
      <c r="B99" s="248" t="s">
        <v>314</v>
      </c>
      <c r="C99" s="282" t="s">
        <v>138</v>
      </c>
      <c r="D99" s="282" t="s">
        <v>21</v>
      </c>
      <c r="E99" s="282" t="s">
        <v>558</v>
      </c>
      <c r="F99" s="282" t="s">
        <v>256</v>
      </c>
      <c r="G99" s="282"/>
      <c r="H99" s="283">
        <f>H105</f>
        <v>668</v>
      </c>
      <c r="I99" s="283">
        <f>I105</f>
        <v>480</v>
      </c>
      <c r="J99" s="283">
        <f>J105</f>
        <v>668</v>
      </c>
      <c r="K99" s="298">
        <v>18</v>
      </c>
      <c r="L99" s="283">
        <v>0</v>
      </c>
      <c r="M99" s="283">
        <v>18</v>
      </c>
      <c r="N99" s="299">
        <v>42</v>
      </c>
    </row>
    <row r="100" spans="1:14" ht="21" customHeight="1" thickBot="1" x14ac:dyDescent="0.25">
      <c r="A100" s="375" t="s">
        <v>76</v>
      </c>
      <c r="B100" s="382" t="s">
        <v>321</v>
      </c>
      <c r="C100" s="377" t="s">
        <v>138</v>
      </c>
      <c r="D100" s="377" t="s">
        <v>322</v>
      </c>
      <c r="E100" s="377"/>
      <c r="F100" s="377"/>
      <c r="G100" s="377"/>
      <c r="H100" s="383"/>
      <c r="I100" s="383"/>
      <c r="J100" s="383"/>
      <c r="K100" s="378"/>
      <c r="L100" s="384"/>
      <c r="M100" s="384"/>
      <c r="N100" s="379">
        <f>N101+N105+N109</f>
        <v>49123.500000000007</v>
      </c>
    </row>
    <row r="101" spans="1:14" ht="15.75" customHeight="1" thickBot="1" x14ac:dyDescent="0.25">
      <c r="A101" s="375" t="s">
        <v>66</v>
      </c>
      <c r="B101" s="376" t="s">
        <v>441</v>
      </c>
      <c r="C101" s="377" t="s">
        <v>138</v>
      </c>
      <c r="D101" s="377" t="s">
        <v>438</v>
      </c>
      <c r="E101" s="377"/>
      <c r="F101" s="377"/>
      <c r="G101" s="385"/>
      <c r="H101" s="386">
        <f>[2]роспись!H63</f>
        <v>5320</v>
      </c>
      <c r="I101" s="386">
        <v>480</v>
      </c>
      <c r="J101" s="386">
        <v>668</v>
      </c>
      <c r="K101" s="378" t="e">
        <f>K102</f>
        <v>#REF!</v>
      </c>
      <c r="L101" s="378" t="e">
        <f>L102</f>
        <v>#REF!</v>
      </c>
      <c r="M101" s="378" t="e">
        <f>M102</f>
        <v>#REF!</v>
      </c>
      <c r="N101" s="379">
        <f>N102</f>
        <v>163.80000000000001</v>
      </c>
    </row>
    <row r="102" spans="1:14" ht="36" x14ac:dyDescent="0.2">
      <c r="A102" s="380" t="s">
        <v>67</v>
      </c>
      <c r="B102" s="387" t="s">
        <v>644</v>
      </c>
      <c r="C102" s="388">
        <v>993</v>
      </c>
      <c r="D102" s="345" t="s">
        <v>438</v>
      </c>
      <c r="E102" s="346" t="s">
        <v>561</v>
      </c>
      <c r="F102" s="345"/>
      <c r="G102" s="345"/>
      <c r="H102" s="356" t="e">
        <f>H104</f>
        <v>#REF!</v>
      </c>
      <c r="I102" s="356">
        <f>I104</f>
        <v>459.2</v>
      </c>
      <c r="J102" s="356">
        <f>J104</f>
        <v>796</v>
      </c>
      <c r="K102" s="348" t="e">
        <f>K104+#REF!</f>
        <v>#REF!</v>
      </c>
      <c r="L102" s="348" t="e">
        <f>L104+#REF!</f>
        <v>#REF!</v>
      </c>
      <c r="M102" s="348" t="e">
        <f>M104+#REF!</f>
        <v>#REF!</v>
      </c>
      <c r="N102" s="349">
        <f>N103</f>
        <v>163.80000000000001</v>
      </c>
    </row>
    <row r="103" spans="1:14" ht="23.25" customHeight="1" x14ac:dyDescent="0.2">
      <c r="A103" s="262" t="s">
        <v>140</v>
      </c>
      <c r="B103" s="257" t="s">
        <v>440</v>
      </c>
      <c r="C103" s="263">
        <v>993</v>
      </c>
      <c r="D103" s="249" t="s">
        <v>438</v>
      </c>
      <c r="E103" s="249" t="s">
        <v>561</v>
      </c>
      <c r="F103" s="249" t="s">
        <v>353</v>
      </c>
      <c r="G103" s="249"/>
      <c r="H103" s="250" t="e">
        <f>[2]роспись!H64</f>
        <v>#REF!</v>
      </c>
      <c r="I103" s="250">
        <v>459.2</v>
      </c>
      <c r="J103" s="250">
        <v>796</v>
      </c>
      <c r="K103" s="251">
        <f>6469.6+600</f>
        <v>7069.6</v>
      </c>
      <c r="L103" s="264">
        <v>2772.6</v>
      </c>
      <c r="M103" s="265">
        <v>7069.6</v>
      </c>
      <c r="N103" s="254">
        <f>N104</f>
        <v>163.80000000000001</v>
      </c>
    </row>
    <row r="104" spans="1:14" ht="38.25" customHeight="1" thickBot="1" x14ac:dyDescent="0.25">
      <c r="A104" s="262" t="s">
        <v>365</v>
      </c>
      <c r="B104" s="248" t="s">
        <v>442</v>
      </c>
      <c r="C104" s="263">
        <v>993</v>
      </c>
      <c r="D104" s="249" t="s">
        <v>438</v>
      </c>
      <c r="E104" s="249" t="s">
        <v>561</v>
      </c>
      <c r="F104" s="249" t="s">
        <v>439</v>
      </c>
      <c r="G104" s="249"/>
      <c r="H104" s="250" t="e">
        <f>[2]роспись!H65</f>
        <v>#REF!</v>
      </c>
      <c r="I104" s="250">
        <v>459.2</v>
      </c>
      <c r="J104" s="250">
        <v>796</v>
      </c>
      <c r="K104" s="251">
        <f>6469.6+600</f>
        <v>7069.6</v>
      </c>
      <c r="L104" s="264">
        <v>2772.6</v>
      </c>
      <c r="M104" s="265">
        <v>7069.6</v>
      </c>
      <c r="N104" s="254">
        <v>163.80000000000001</v>
      </c>
    </row>
    <row r="105" spans="1:14" ht="21" customHeight="1" thickBot="1" x14ac:dyDescent="0.25">
      <c r="A105" s="375" t="s">
        <v>283</v>
      </c>
      <c r="B105" s="376" t="s">
        <v>224</v>
      </c>
      <c r="C105" s="377" t="s">
        <v>138</v>
      </c>
      <c r="D105" s="377" t="s">
        <v>223</v>
      </c>
      <c r="E105" s="377"/>
      <c r="F105" s="377"/>
      <c r="G105" s="385"/>
      <c r="H105" s="386">
        <f>[2]роспись!H68</f>
        <v>668</v>
      </c>
      <c r="I105" s="386">
        <v>480</v>
      </c>
      <c r="J105" s="386">
        <v>668</v>
      </c>
      <c r="K105" s="378" t="e">
        <f>K106</f>
        <v>#REF!</v>
      </c>
      <c r="L105" s="378" t="e">
        <f>L106</f>
        <v>#REF!</v>
      </c>
      <c r="M105" s="378" t="e">
        <f>M106</f>
        <v>#REF!</v>
      </c>
      <c r="N105" s="379">
        <f>N106</f>
        <v>48899.3</v>
      </c>
    </row>
    <row r="106" spans="1:14" ht="24" x14ac:dyDescent="0.2">
      <c r="A106" s="380" t="s">
        <v>285</v>
      </c>
      <c r="B106" s="387" t="s">
        <v>260</v>
      </c>
      <c r="C106" s="388">
        <v>993</v>
      </c>
      <c r="D106" s="345" t="s">
        <v>223</v>
      </c>
      <c r="E106" s="346" t="s">
        <v>559</v>
      </c>
      <c r="F106" s="345"/>
      <c r="G106" s="345"/>
      <c r="H106" s="356">
        <f>H108</f>
        <v>796</v>
      </c>
      <c r="I106" s="356">
        <f>I108</f>
        <v>459.2</v>
      </c>
      <c r="J106" s="356">
        <f>J108</f>
        <v>796</v>
      </c>
      <c r="K106" s="348" t="e">
        <f>K108+#REF!</f>
        <v>#REF!</v>
      </c>
      <c r="L106" s="348" t="e">
        <f>L108+#REF!</f>
        <v>#REF!</v>
      </c>
      <c r="M106" s="348" t="e">
        <f>M108+#REF!</f>
        <v>#REF!</v>
      </c>
      <c r="N106" s="349">
        <f>N108</f>
        <v>48899.3</v>
      </c>
    </row>
    <row r="107" spans="1:14" ht="29.25" customHeight="1" x14ac:dyDescent="0.2">
      <c r="A107" s="262" t="s">
        <v>517</v>
      </c>
      <c r="B107" s="257" t="s">
        <v>349</v>
      </c>
      <c r="C107" s="263">
        <v>993</v>
      </c>
      <c r="D107" s="249" t="s">
        <v>223</v>
      </c>
      <c r="E107" s="249" t="s">
        <v>559</v>
      </c>
      <c r="F107" s="249" t="s">
        <v>348</v>
      </c>
      <c r="G107" s="249"/>
      <c r="H107" s="250" t="e">
        <f>[2]роспись!H69</f>
        <v>#REF!</v>
      </c>
      <c r="I107" s="250">
        <v>459.2</v>
      </c>
      <c r="J107" s="250">
        <v>796</v>
      </c>
      <c r="K107" s="251">
        <f>6469.6+600</f>
        <v>7069.6</v>
      </c>
      <c r="L107" s="264">
        <v>2772.6</v>
      </c>
      <c r="M107" s="265">
        <v>7069.6</v>
      </c>
      <c r="N107" s="254">
        <f>N108</f>
        <v>48899.3</v>
      </c>
    </row>
    <row r="108" spans="1:14" ht="27.75" customHeight="1" thickBot="1" x14ac:dyDescent="0.25">
      <c r="A108" s="262" t="s">
        <v>518</v>
      </c>
      <c r="B108" s="248" t="s">
        <v>314</v>
      </c>
      <c r="C108" s="263">
        <v>993</v>
      </c>
      <c r="D108" s="249" t="s">
        <v>223</v>
      </c>
      <c r="E108" s="249" t="s">
        <v>559</v>
      </c>
      <c r="F108" s="249" t="s">
        <v>256</v>
      </c>
      <c r="G108" s="249"/>
      <c r="H108" s="250">
        <f>[2]роспись!H70</f>
        <v>796</v>
      </c>
      <c r="I108" s="250">
        <v>459.2</v>
      </c>
      <c r="J108" s="250">
        <v>796</v>
      </c>
      <c r="K108" s="251">
        <f>6469.6+600</f>
        <v>7069.6</v>
      </c>
      <c r="L108" s="264">
        <v>2772.6</v>
      </c>
      <c r="M108" s="265">
        <v>7069.6</v>
      </c>
      <c r="N108" s="254">
        <v>48899.3</v>
      </c>
    </row>
    <row r="109" spans="1:14" ht="21" customHeight="1" thickBot="1" x14ac:dyDescent="0.25">
      <c r="A109" s="375" t="s">
        <v>516</v>
      </c>
      <c r="B109" s="376" t="s">
        <v>523</v>
      </c>
      <c r="C109" s="377" t="s">
        <v>138</v>
      </c>
      <c r="D109" s="377" t="s">
        <v>522</v>
      </c>
      <c r="E109" s="377"/>
      <c r="F109" s="377"/>
      <c r="G109" s="385"/>
      <c r="H109" s="386" t="e">
        <f>[2]роспись!H73</f>
        <v>#REF!</v>
      </c>
      <c r="I109" s="386">
        <v>480</v>
      </c>
      <c r="J109" s="386">
        <v>668</v>
      </c>
      <c r="K109" s="378" t="e">
        <f>K110</f>
        <v>#REF!</v>
      </c>
      <c r="L109" s="378" t="e">
        <f>L110</f>
        <v>#REF!</v>
      </c>
      <c r="M109" s="378" t="e">
        <f>M110</f>
        <v>#REF!</v>
      </c>
      <c r="N109" s="379">
        <f>N110</f>
        <v>60.4</v>
      </c>
    </row>
    <row r="110" spans="1:14" ht="24" x14ac:dyDescent="0.2">
      <c r="A110" s="380" t="s">
        <v>519</v>
      </c>
      <c r="B110" s="387" t="s">
        <v>524</v>
      </c>
      <c r="C110" s="388">
        <v>993</v>
      </c>
      <c r="D110" s="345" t="s">
        <v>522</v>
      </c>
      <c r="E110" s="346" t="s">
        <v>560</v>
      </c>
      <c r="F110" s="345"/>
      <c r="G110" s="345"/>
      <c r="H110" s="356">
        <f>H112</f>
        <v>204</v>
      </c>
      <c r="I110" s="356">
        <f>I112</f>
        <v>459.2</v>
      </c>
      <c r="J110" s="356">
        <f>J112</f>
        <v>796</v>
      </c>
      <c r="K110" s="348" t="e">
        <f>K112+K113</f>
        <v>#REF!</v>
      </c>
      <c r="L110" s="348" t="e">
        <f>L112+L113</f>
        <v>#REF!</v>
      </c>
      <c r="M110" s="348" t="e">
        <f>M112+M113</f>
        <v>#REF!</v>
      </c>
      <c r="N110" s="349">
        <f>N111</f>
        <v>60.4</v>
      </c>
    </row>
    <row r="111" spans="1:14" ht="29.25" customHeight="1" x14ac:dyDescent="0.2">
      <c r="A111" s="262" t="s">
        <v>520</v>
      </c>
      <c r="B111" s="257" t="s">
        <v>349</v>
      </c>
      <c r="C111" s="263">
        <v>993</v>
      </c>
      <c r="D111" s="249" t="s">
        <v>522</v>
      </c>
      <c r="E111" s="249" t="s">
        <v>560</v>
      </c>
      <c r="F111" s="249" t="s">
        <v>348</v>
      </c>
      <c r="G111" s="249"/>
      <c r="H111" s="250" t="e">
        <f>[2]роспись!H74</f>
        <v>#REF!</v>
      </c>
      <c r="I111" s="250">
        <v>459.2</v>
      </c>
      <c r="J111" s="250">
        <v>796</v>
      </c>
      <c r="K111" s="251">
        <f>6469.6+600</f>
        <v>7069.6</v>
      </c>
      <c r="L111" s="264">
        <v>2772.6</v>
      </c>
      <c r="M111" s="265">
        <v>7069.6</v>
      </c>
      <c r="N111" s="254">
        <f>N112</f>
        <v>60.4</v>
      </c>
    </row>
    <row r="112" spans="1:14" ht="27.75" customHeight="1" thickBot="1" x14ac:dyDescent="0.25">
      <c r="A112" s="262" t="s">
        <v>521</v>
      </c>
      <c r="B112" s="248" t="s">
        <v>314</v>
      </c>
      <c r="C112" s="263">
        <v>993</v>
      </c>
      <c r="D112" s="249" t="s">
        <v>522</v>
      </c>
      <c r="E112" s="249" t="s">
        <v>560</v>
      </c>
      <c r="F112" s="249" t="s">
        <v>256</v>
      </c>
      <c r="G112" s="249"/>
      <c r="H112" s="250">
        <f>[2]роспись!H75</f>
        <v>204</v>
      </c>
      <c r="I112" s="250">
        <v>459.2</v>
      </c>
      <c r="J112" s="250">
        <v>796</v>
      </c>
      <c r="K112" s="251">
        <f>6469.6+600</f>
        <v>7069.6</v>
      </c>
      <c r="L112" s="264">
        <v>2772.6</v>
      </c>
      <c r="M112" s="265">
        <v>7069.6</v>
      </c>
      <c r="N112" s="254">
        <v>60.4</v>
      </c>
    </row>
    <row r="113" spans="1:14" ht="13.5" thickBot="1" x14ac:dyDescent="0.25">
      <c r="A113" s="375" t="s">
        <v>78</v>
      </c>
      <c r="B113" s="376" t="s">
        <v>32</v>
      </c>
      <c r="C113" s="377" t="s">
        <v>138</v>
      </c>
      <c r="D113" s="377" t="s">
        <v>33</v>
      </c>
      <c r="E113" s="377"/>
      <c r="F113" s="377"/>
      <c r="G113" s="249"/>
      <c r="H113" s="250" t="e">
        <f>#REF!+#REF!+#REF!</f>
        <v>#REF!</v>
      </c>
      <c r="I113" s="250" t="e">
        <f>#REF!+#REF!+#REF!</f>
        <v>#REF!</v>
      </c>
      <c r="J113" s="250" t="e">
        <f>#REF!+#REF!+#REF!</f>
        <v>#REF!</v>
      </c>
      <c r="K113" s="378" t="e">
        <f>#REF!+K119+K129+K139</f>
        <v>#REF!</v>
      </c>
      <c r="L113" s="378" t="e">
        <f>#REF!+L119+L129+L139</f>
        <v>#REF!</v>
      </c>
      <c r="M113" s="378" t="e">
        <f>#REF!+M119+M129+M139</f>
        <v>#REF!</v>
      </c>
      <c r="N113" s="379">
        <f>N114</f>
        <v>33364.199999999997</v>
      </c>
    </row>
    <row r="114" spans="1:14" ht="13.5" thickBot="1" x14ac:dyDescent="0.25">
      <c r="A114" s="375" t="s">
        <v>68</v>
      </c>
      <c r="B114" s="394" t="s">
        <v>330</v>
      </c>
      <c r="C114" s="377" t="s">
        <v>138</v>
      </c>
      <c r="D114" s="377" t="s">
        <v>80</v>
      </c>
      <c r="E114" s="377"/>
      <c r="F114" s="377"/>
      <c r="G114" s="377"/>
      <c r="H114" s="383"/>
      <c r="I114" s="383"/>
      <c r="J114" s="383"/>
      <c r="K114" s="378"/>
      <c r="L114" s="378"/>
      <c r="M114" s="378"/>
      <c r="N114" s="379">
        <f>N115+N119+N129+N139</f>
        <v>33364.199999999997</v>
      </c>
    </row>
    <row r="115" spans="1:14" ht="27.75" customHeight="1" thickBot="1" x14ac:dyDescent="0.25">
      <c r="A115" s="375" t="s">
        <v>69</v>
      </c>
      <c r="B115" s="389" t="s">
        <v>446</v>
      </c>
      <c r="C115" s="377">
        <v>993</v>
      </c>
      <c r="D115" s="377" t="s">
        <v>80</v>
      </c>
      <c r="E115" s="377" t="s">
        <v>562</v>
      </c>
      <c r="F115" s="377"/>
      <c r="G115" s="249"/>
      <c r="H115" s="250">
        <f>H116</f>
        <v>552.70000000000005</v>
      </c>
      <c r="I115" s="250">
        <f>I116</f>
        <v>79.8</v>
      </c>
      <c r="J115" s="250">
        <f>J116</f>
        <v>204</v>
      </c>
      <c r="K115" s="378" t="e">
        <f>K116+#REF!+#REF!</f>
        <v>#REF!</v>
      </c>
      <c r="L115" s="378" t="e">
        <f>L116+#REF!+#REF!</f>
        <v>#REF!</v>
      </c>
      <c r="M115" s="378" t="e">
        <f>M116+#REF!+#REF!</f>
        <v>#REF!</v>
      </c>
      <c r="N115" s="379">
        <f>N116</f>
        <v>5420.9</v>
      </c>
    </row>
    <row r="116" spans="1:14" ht="43.5" customHeight="1" x14ac:dyDescent="0.2">
      <c r="A116" s="390" t="s">
        <v>69</v>
      </c>
      <c r="B116" s="391" t="s">
        <v>261</v>
      </c>
      <c r="C116" s="271">
        <v>993</v>
      </c>
      <c r="D116" s="271" t="s">
        <v>80</v>
      </c>
      <c r="E116" s="418" t="s">
        <v>563</v>
      </c>
      <c r="F116" s="271"/>
      <c r="G116" s="249"/>
      <c r="H116" s="250">
        <f>[2]роспись!H84</f>
        <v>552.70000000000005</v>
      </c>
      <c r="I116" s="250">
        <v>79.8</v>
      </c>
      <c r="J116" s="250">
        <v>204</v>
      </c>
      <c r="K116" s="296">
        <f>K118</f>
        <v>411.1</v>
      </c>
      <c r="L116" s="296">
        <f>L118</f>
        <v>0</v>
      </c>
      <c r="M116" s="296">
        <f>M118</f>
        <v>411.1</v>
      </c>
      <c r="N116" s="254">
        <f>N117</f>
        <v>5420.9</v>
      </c>
    </row>
    <row r="117" spans="1:14" ht="33" customHeight="1" x14ac:dyDescent="0.2">
      <c r="A117" s="262" t="s">
        <v>70</v>
      </c>
      <c r="B117" s="257" t="s">
        <v>349</v>
      </c>
      <c r="C117" s="249">
        <v>993</v>
      </c>
      <c r="D117" s="249" t="s">
        <v>80</v>
      </c>
      <c r="E117" s="249" t="s">
        <v>563</v>
      </c>
      <c r="F117" s="249" t="s">
        <v>348</v>
      </c>
      <c r="G117" s="249"/>
      <c r="H117" s="250" t="e">
        <f t="shared" ref="H117:J117" si="11">H118</f>
        <v>#REF!</v>
      </c>
      <c r="I117" s="250" t="e">
        <f t="shared" si="11"/>
        <v>#REF!</v>
      </c>
      <c r="J117" s="250" t="e">
        <f t="shared" si="11"/>
        <v>#REF!</v>
      </c>
      <c r="K117" s="251">
        <v>411.1</v>
      </c>
      <c r="L117" s="252"/>
      <c r="M117" s="253">
        <v>411.1</v>
      </c>
      <c r="N117" s="254">
        <f>N118</f>
        <v>5420.9</v>
      </c>
    </row>
    <row r="118" spans="1:14" ht="27" customHeight="1" thickBot="1" x14ac:dyDescent="0.25">
      <c r="A118" s="262" t="s">
        <v>70</v>
      </c>
      <c r="B118" s="248" t="s">
        <v>314</v>
      </c>
      <c r="C118" s="249">
        <v>993</v>
      </c>
      <c r="D118" s="249" t="s">
        <v>80</v>
      </c>
      <c r="E118" s="249" t="s">
        <v>563</v>
      </c>
      <c r="F118" s="249" t="s">
        <v>256</v>
      </c>
      <c r="G118" s="249"/>
      <c r="H118" s="250" t="e">
        <f>#REF!</f>
        <v>#REF!</v>
      </c>
      <c r="I118" s="250" t="e">
        <f>#REF!</f>
        <v>#REF!</v>
      </c>
      <c r="J118" s="250" t="e">
        <f>#REF!</f>
        <v>#REF!</v>
      </c>
      <c r="K118" s="251">
        <v>411.1</v>
      </c>
      <c r="L118" s="252"/>
      <c r="M118" s="253">
        <v>411.1</v>
      </c>
      <c r="N118" s="254">
        <f>5074.7+346.2</f>
        <v>5420.9</v>
      </c>
    </row>
    <row r="119" spans="1:14" ht="49.5" customHeight="1" thickBot="1" x14ac:dyDescent="0.25">
      <c r="A119" s="375" t="s">
        <v>262</v>
      </c>
      <c r="B119" s="389" t="s">
        <v>266</v>
      </c>
      <c r="C119" s="377">
        <v>993</v>
      </c>
      <c r="D119" s="377" t="s">
        <v>80</v>
      </c>
      <c r="E119" s="377" t="s">
        <v>564</v>
      </c>
      <c r="F119" s="377"/>
      <c r="G119" s="385"/>
      <c r="H119" s="386">
        <f>H120</f>
        <v>1077.7</v>
      </c>
      <c r="I119" s="386">
        <f>I120</f>
        <v>566.29999999999995</v>
      </c>
      <c r="J119" s="386">
        <f>J120</f>
        <v>1077.7</v>
      </c>
      <c r="K119" s="378">
        <f>K120++K123+K126</f>
        <v>6501.6</v>
      </c>
      <c r="L119" s="378">
        <f>L120++L123+L126</f>
        <v>4178.7000000000007</v>
      </c>
      <c r="M119" s="378">
        <f>M120++M123+M126</f>
        <v>6501.6</v>
      </c>
      <c r="N119" s="379">
        <f>N120++N123+N126</f>
        <v>9091.4</v>
      </c>
    </row>
    <row r="120" spans="1:14" ht="17.25" customHeight="1" x14ac:dyDescent="0.2">
      <c r="A120" s="268" t="s">
        <v>263</v>
      </c>
      <c r="B120" s="269" t="s">
        <v>267</v>
      </c>
      <c r="C120" s="270" t="s">
        <v>138</v>
      </c>
      <c r="D120" s="270" t="s">
        <v>80</v>
      </c>
      <c r="E120" s="249" t="s">
        <v>565</v>
      </c>
      <c r="F120" s="270"/>
      <c r="G120" s="271"/>
      <c r="H120" s="271">
        <f t="shared" ref="H120:M120" si="12">H122</f>
        <v>1077.7</v>
      </c>
      <c r="I120" s="272">
        <f t="shared" si="12"/>
        <v>566.29999999999995</v>
      </c>
      <c r="J120" s="272">
        <f t="shared" si="12"/>
        <v>1077.7</v>
      </c>
      <c r="K120" s="273">
        <f t="shared" si="12"/>
        <v>1800</v>
      </c>
      <c r="L120" s="273">
        <f t="shared" si="12"/>
        <v>1632.4</v>
      </c>
      <c r="M120" s="273">
        <f t="shared" si="12"/>
        <v>1800</v>
      </c>
      <c r="N120" s="274">
        <f>N121</f>
        <v>550</v>
      </c>
    </row>
    <row r="121" spans="1:14" ht="29.25" customHeight="1" x14ac:dyDescent="0.2">
      <c r="A121" s="266" t="s">
        <v>331</v>
      </c>
      <c r="B121" s="257" t="s">
        <v>349</v>
      </c>
      <c r="C121" s="255" t="s">
        <v>138</v>
      </c>
      <c r="D121" s="255" t="s">
        <v>80</v>
      </c>
      <c r="E121" s="249" t="s">
        <v>565</v>
      </c>
      <c r="F121" s="255" t="s">
        <v>348</v>
      </c>
      <c r="G121" s="249"/>
      <c r="H121" s="249" t="e">
        <f>[2]роспись!H78</f>
        <v>#REF!</v>
      </c>
      <c r="I121" s="250">
        <v>566.29999999999995</v>
      </c>
      <c r="J121" s="250">
        <v>1077.7</v>
      </c>
      <c r="K121" s="267">
        <v>1800</v>
      </c>
      <c r="L121" s="252">
        <v>1632.4</v>
      </c>
      <c r="M121" s="253">
        <v>1800</v>
      </c>
      <c r="N121" s="254">
        <f>N122</f>
        <v>550</v>
      </c>
    </row>
    <row r="122" spans="1:14" ht="28.5" customHeight="1" x14ac:dyDescent="0.2">
      <c r="A122" s="266" t="s">
        <v>366</v>
      </c>
      <c r="B122" s="248" t="s">
        <v>314</v>
      </c>
      <c r="C122" s="255" t="s">
        <v>138</v>
      </c>
      <c r="D122" s="255" t="s">
        <v>80</v>
      </c>
      <c r="E122" s="271" t="s">
        <v>565</v>
      </c>
      <c r="F122" s="255" t="s">
        <v>256</v>
      </c>
      <c r="G122" s="249"/>
      <c r="H122" s="249">
        <f>[2]роспись!H79</f>
        <v>1077.7</v>
      </c>
      <c r="I122" s="250">
        <v>566.29999999999995</v>
      </c>
      <c r="J122" s="250">
        <v>1077.7</v>
      </c>
      <c r="K122" s="267">
        <v>1800</v>
      </c>
      <c r="L122" s="252">
        <v>1632.4</v>
      </c>
      <c r="M122" s="253">
        <v>1800</v>
      </c>
      <c r="N122" s="254">
        <v>550</v>
      </c>
    </row>
    <row r="123" spans="1:14" ht="24" x14ac:dyDescent="0.2">
      <c r="A123" s="266" t="s">
        <v>332</v>
      </c>
      <c r="B123" s="256" t="s">
        <v>81</v>
      </c>
      <c r="C123" s="275" t="s">
        <v>138</v>
      </c>
      <c r="D123" s="255" t="s">
        <v>80</v>
      </c>
      <c r="E123" s="271" t="s">
        <v>566</v>
      </c>
      <c r="F123" s="255"/>
      <c r="G123" s="249"/>
      <c r="H123" s="250">
        <f>H129</f>
        <v>780.80000000000007</v>
      </c>
      <c r="I123" s="250">
        <f>I129</f>
        <v>457.5</v>
      </c>
      <c r="J123" s="250">
        <f>J129</f>
        <v>704.80000000000007</v>
      </c>
      <c r="K123" s="267">
        <f>K125</f>
        <v>1122</v>
      </c>
      <c r="L123" s="267">
        <f>L125</f>
        <v>475</v>
      </c>
      <c r="M123" s="267">
        <f>M125</f>
        <v>1122</v>
      </c>
      <c r="N123" s="276">
        <f>N124</f>
        <v>200</v>
      </c>
    </row>
    <row r="124" spans="1:14" ht="29.25" customHeight="1" x14ac:dyDescent="0.2">
      <c r="A124" s="266" t="s">
        <v>333</v>
      </c>
      <c r="B124" s="257" t="s">
        <v>349</v>
      </c>
      <c r="C124" s="275" t="s">
        <v>138</v>
      </c>
      <c r="D124" s="255" t="s">
        <v>80</v>
      </c>
      <c r="E124" s="271" t="s">
        <v>566</v>
      </c>
      <c r="F124" s="255" t="s">
        <v>348</v>
      </c>
      <c r="G124" s="249"/>
      <c r="H124" s="250">
        <f>H126</f>
        <v>0</v>
      </c>
      <c r="I124" s="250">
        <f>I126</f>
        <v>0</v>
      </c>
      <c r="J124" s="250">
        <f>J126</f>
        <v>0</v>
      </c>
      <c r="K124" s="267">
        <v>1122</v>
      </c>
      <c r="L124" s="267">
        <v>475</v>
      </c>
      <c r="M124" s="267">
        <v>1122</v>
      </c>
      <c r="N124" s="276">
        <f>N125</f>
        <v>200</v>
      </c>
    </row>
    <row r="125" spans="1:14" ht="25.5" customHeight="1" x14ac:dyDescent="0.2">
      <c r="A125" s="266" t="s">
        <v>367</v>
      </c>
      <c r="B125" s="248" t="s">
        <v>314</v>
      </c>
      <c r="C125" s="275" t="s">
        <v>138</v>
      </c>
      <c r="D125" s="255" t="s">
        <v>80</v>
      </c>
      <c r="E125" s="271" t="s">
        <v>566</v>
      </c>
      <c r="F125" s="255" t="s">
        <v>256</v>
      </c>
      <c r="G125" s="249"/>
      <c r="H125" s="250">
        <f>H128</f>
        <v>0</v>
      </c>
      <c r="I125" s="250">
        <f>I128</f>
        <v>0</v>
      </c>
      <c r="J125" s="250">
        <f>J128</f>
        <v>0</v>
      </c>
      <c r="K125" s="267">
        <v>1122</v>
      </c>
      <c r="L125" s="267">
        <v>475</v>
      </c>
      <c r="M125" s="267">
        <v>1122</v>
      </c>
      <c r="N125" s="276">
        <v>200</v>
      </c>
    </row>
    <row r="126" spans="1:14" ht="21" customHeight="1" x14ac:dyDescent="0.2">
      <c r="A126" s="266" t="s">
        <v>474</v>
      </c>
      <c r="B126" s="277" t="s">
        <v>268</v>
      </c>
      <c r="C126" s="278">
        <v>993</v>
      </c>
      <c r="D126" s="255" t="s">
        <v>80</v>
      </c>
      <c r="E126" s="271" t="s">
        <v>567</v>
      </c>
      <c r="F126" s="255"/>
      <c r="G126" s="249"/>
      <c r="H126" s="250"/>
      <c r="I126" s="250"/>
      <c r="J126" s="250"/>
      <c r="K126" s="267">
        <f>K128</f>
        <v>3579.6</v>
      </c>
      <c r="L126" s="267">
        <f>L128</f>
        <v>2071.3000000000002</v>
      </c>
      <c r="M126" s="267">
        <f>M128</f>
        <v>3579.6</v>
      </c>
      <c r="N126" s="254">
        <f>N127</f>
        <v>8341.4</v>
      </c>
    </row>
    <row r="127" spans="1:14" ht="27" customHeight="1" x14ac:dyDescent="0.2">
      <c r="A127" s="279" t="s">
        <v>475</v>
      </c>
      <c r="B127" s="257" t="s">
        <v>349</v>
      </c>
      <c r="C127" s="280">
        <v>993</v>
      </c>
      <c r="D127" s="281" t="s">
        <v>80</v>
      </c>
      <c r="E127" s="271" t="s">
        <v>567</v>
      </c>
      <c r="F127" s="255" t="s">
        <v>348</v>
      </c>
      <c r="G127" s="282"/>
      <c r="H127" s="283"/>
      <c r="I127" s="284"/>
      <c r="J127" s="284"/>
      <c r="K127" s="285">
        <v>3579.6</v>
      </c>
      <c r="L127" s="252">
        <v>2071.3000000000002</v>
      </c>
      <c r="M127" s="253">
        <v>3579.6</v>
      </c>
      <c r="N127" s="254">
        <f>N128</f>
        <v>8341.4</v>
      </c>
    </row>
    <row r="128" spans="1:14" ht="24" customHeight="1" thickBot="1" x14ac:dyDescent="0.25">
      <c r="A128" s="279" t="s">
        <v>476</v>
      </c>
      <c r="B128" s="248" t="s">
        <v>314</v>
      </c>
      <c r="C128" s="280">
        <v>993</v>
      </c>
      <c r="D128" s="281" t="s">
        <v>80</v>
      </c>
      <c r="E128" s="271" t="s">
        <v>567</v>
      </c>
      <c r="F128" s="255" t="s">
        <v>256</v>
      </c>
      <c r="G128" s="282"/>
      <c r="H128" s="283"/>
      <c r="I128" s="284"/>
      <c r="J128" s="284"/>
      <c r="K128" s="285">
        <v>3579.6</v>
      </c>
      <c r="L128" s="252">
        <v>2071.3000000000002</v>
      </c>
      <c r="M128" s="253">
        <v>3579.6</v>
      </c>
      <c r="N128" s="254">
        <v>8341.4</v>
      </c>
    </row>
    <row r="129" spans="1:14" ht="18.75" customHeight="1" thickBot="1" x14ac:dyDescent="0.25">
      <c r="A129" s="375" t="s">
        <v>264</v>
      </c>
      <c r="B129" s="389" t="s">
        <v>269</v>
      </c>
      <c r="C129" s="377">
        <v>993</v>
      </c>
      <c r="D129" s="377" t="s">
        <v>80</v>
      </c>
      <c r="E129" s="345" t="s">
        <v>571</v>
      </c>
      <c r="F129" s="377"/>
      <c r="G129" s="346"/>
      <c r="H129" s="347">
        <f>H130+H139</f>
        <v>780.80000000000007</v>
      </c>
      <c r="I129" s="347">
        <f>I130+I139</f>
        <v>457.5</v>
      </c>
      <c r="J129" s="347">
        <f>J130+J139</f>
        <v>704.80000000000007</v>
      </c>
      <c r="K129" s="378">
        <f>K130+K133</f>
        <v>571.6</v>
      </c>
      <c r="L129" s="378">
        <f>L130+L133</f>
        <v>100</v>
      </c>
      <c r="M129" s="378">
        <f>M130+M133</f>
        <v>571.6</v>
      </c>
      <c r="N129" s="379">
        <f>N130+N133+N136</f>
        <v>150</v>
      </c>
    </row>
    <row r="130" spans="1:14" ht="24" hidden="1" x14ac:dyDescent="0.2">
      <c r="A130" s="286" t="s">
        <v>265</v>
      </c>
      <c r="B130" s="287" t="s">
        <v>270</v>
      </c>
      <c r="C130" s="288" t="s">
        <v>138</v>
      </c>
      <c r="D130" s="270" t="s">
        <v>80</v>
      </c>
      <c r="E130" s="271" t="s">
        <v>568</v>
      </c>
      <c r="F130" s="270"/>
      <c r="G130" s="249"/>
      <c r="H130" s="250">
        <f t="shared" ref="H130:N130" si="13">H132</f>
        <v>552.70000000000005</v>
      </c>
      <c r="I130" s="250">
        <f t="shared" si="13"/>
        <v>356.1</v>
      </c>
      <c r="J130" s="250">
        <f t="shared" si="13"/>
        <v>552.70000000000005</v>
      </c>
      <c r="K130" s="273">
        <f t="shared" si="13"/>
        <v>150</v>
      </c>
      <c r="L130" s="273">
        <f t="shared" si="13"/>
        <v>100</v>
      </c>
      <c r="M130" s="273">
        <f t="shared" si="13"/>
        <v>150</v>
      </c>
      <c r="N130" s="274">
        <f t="shared" si="13"/>
        <v>0</v>
      </c>
    </row>
    <row r="131" spans="1:14" ht="28.5" hidden="1" customHeight="1" x14ac:dyDescent="0.2">
      <c r="A131" s="266" t="s">
        <v>334</v>
      </c>
      <c r="B131" s="257" t="s">
        <v>349</v>
      </c>
      <c r="C131" s="288" t="s">
        <v>138</v>
      </c>
      <c r="D131" s="270" t="s">
        <v>80</v>
      </c>
      <c r="E131" s="271" t="s">
        <v>568</v>
      </c>
      <c r="F131" s="270" t="s">
        <v>348</v>
      </c>
      <c r="G131" s="249"/>
      <c r="H131" s="250" t="e">
        <f>[2]роспись!H83</f>
        <v>#REF!</v>
      </c>
      <c r="I131" s="250">
        <v>356.1</v>
      </c>
      <c r="J131" s="250">
        <v>552.70000000000005</v>
      </c>
      <c r="K131" s="273">
        <v>150</v>
      </c>
      <c r="L131" s="289">
        <v>100</v>
      </c>
      <c r="M131" s="290">
        <v>150</v>
      </c>
      <c r="N131" s="254">
        <f>N132</f>
        <v>0</v>
      </c>
    </row>
    <row r="132" spans="1:14" ht="30" hidden="1" customHeight="1" x14ac:dyDescent="0.2">
      <c r="A132" s="291" t="s">
        <v>368</v>
      </c>
      <c r="B132" s="248" t="s">
        <v>314</v>
      </c>
      <c r="C132" s="288" t="s">
        <v>138</v>
      </c>
      <c r="D132" s="270" t="s">
        <v>80</v>
      </c>
      <c r="E132" s="271" t="s">
        <v>568</v>
      </c>
      <c r="F132" s="270" t="s">
        <v>256</v>
      </c>
      <c r="G132" s="249"/>
      <c r="H132" s="250">
        <f>[2]роспись!H84</f>
        <v>552.70000000000005</v>
      </c>
      <c r="I132" s="250">
        <v>356.1</v>
      </c>
      <c r="J132" s="250">
        <v>552.70000000000005</v>
      </c>
      <c r="K132" s="273">
        <v>150</v>
      </c>
      <c r="L132" s="289">
        <v>100</v>
      </c>
      <c r="M132" s="290">
        <v>150</v>
      </c>
      <c r="N132" s="254">
        <v>0</v>
      </c>
    </row>
    <row r="133" spans="1:14" ht="29.25" customHeight="1" x14ac:dyDescent="0.2">
      <c r="A133" s="279" t="s">
        <v>335</v>
      </c>
      <c r="B133" s="292" t="s">
        <v>447</v>
      </c>
      <c r="C133" s="293" t="s">
        <v>138</v>
      </c>
      <c r="D133" s="281" t="s">
        <v>80</v>
      </c>
      <c r="E133" s="271" t="s">
        <v>569</v>
      </c>
      <c r="F133" s="281"/>
      <c r="G133" s="249"/>
      <c r="H133" s="250"/>
      <c r="I133" s="250"/>
      <c r="J133" s="250"/>
      <c r="K133" s="285">
        <f>K135</f>
        <v>421.6</v>
      </c>
      <c r="L133" s="285">
        <f>L135</f>
        <v>0</v>
      </c>
      <c r="M133" s="285">
        <f>M135</f>
        <v>421.6</v>
      </c>
      <c r="N133" s="294">
        <f>N135</f>
        <v>100</v>
      </c>
    </row>
    <row r="134" spans="1:14" ht="29.25" customHeight="1" x14ac:dyDescent="0.2">
      <c r="A134" s="279" t="s">
        <v>336</v>
      </c>
      <c r="B134" s="257" t="s">
        <v>349</v>
      </c>
      <c r="C134" s="293" t="s">
        <v>138</v>
      </c>
      <c r="D134" s="281" t="s">
        <v>80</v>
      </c>
      <c r="E134" s="271" t="s">
        <v>569</v>
      </c>
      <c r="F134" s="281" t="s">
        <v>348</v>
      </c>
      <c r="G134" s="249"/>
      <c r="H134" s="250"/>
      <c r="I134" s="250"/>
      <c r="J134" s="250"/>
      <c r="K134" s="285">
        <v>421.6</v>
      </c>
      <c r="L134" s="295"/>
      <c r="M134" s="295">
        <v>421.6</v>
      </c>
      <c r="N134" s="254">
        <f>N135</f>
        <v>100</v>
      </c>
    </row>
    <row r="135" spans="1:14" ht="27" customHeight="1" x14ac:dyDescent="0.2">
      <c r="A135" s="279" t="s">
        <v>369</v>
      </c>
      <c r="B135" s="248" t="s">
        <v>314</v>
      </c>
      <c r="C135" s="293" t="s">
        <v>138</v>
      </c>
      <c r="D135" s="281" t="s">
        <v>80</v>
      </c>
      <c r="E135" s="271" t="s">
        <v>569</v>
      </c>
      <c r="F135" s="281" t="s">
        <v>256</v>
      </c>
      <c r="G135" s="249"/>
      <c r="H135" s="250"/>
      <c r="I135" s="250"/>
      <c r="J135" s="250"/>
      <c r="K135" s="285">
        <v>421.6</v>
      </c>
      <c r="L135" s="295"/>
      <c r="M135" s="295">
        <v>421.6</v>
      </c>
      <c r="N135" s="254">
        <v>100</v>
      </c>
    </row>
    <row r="136" spans="1:14" ht="29.25" customHeight="1" x14ac:dyDescent="0.2">
      <c r="A136" s="279" t="s">
        <v>265</v>
      </c>
      <c r="B136" s="292" t="s">
        <v>538</v>
      </c>
      <c r="C136" s="293" t="s">
        <v>138</v>
      </c>
      <c r="D136" s="281" t="s">
        <v>80</v>
      </c>
      <c r="E136" s="271" t="s">
        <v>570</v>
      </c>
      <c r="F136" s="281"/>
      <c r="G136" s="249"/>
      <c r="H136" s="250"/>
      <c r="I136" s="250"/>
      <c r="J136" s="250"/>
      <c r="K136" s="285">
        <f>K138</f>
        <v>421.6</v>
      </c>
      <c r="L136" s="285">
        <f>L138</f>
        <v>0</v>
      </c>
      <c r="M136" s="285">
        <f>M138</f>
        <v>421.6</v>
      </c>
      <c r="N136" s="294">
        <f>N138</f>
        <v>50</v>
      </c>
    </row>
    <row r="137" spans="1:14" ht="27" customHeight="1" x14ac:dyDescent="0.2">
      <c r="A137" s="279" t="s">
        <v>334</v>
      </c>
      <c r="B137" s="257" t="s">
        <v>349</v>
      </c>
      <c r="C137" s="293" t="s">
        <v>138</v>
      </c>
      <c r="D137" s="281" t="s">
        <v>80</v>
      </c>
      <c r="E137" s="271" t="s">
        <v>570</v>
      </c>
      <c r="F137" s="281" t="s">
        <v>348</v>
      </c>
      <c r="G137" s="249"/>
      <c r="H137" s="250"/>
      <c r="I137" s="250"/>
      <c r="J137" s="250"/>
      <c r="K137" s="285">
        <v>421.6</v>
      </c>
      <c r="L137" s="295"/>
      <c r="M137" s="295">
        <v>421.6</v>
      </c>
      <c r="N137" s="254">
        <f>N138</f>
        <v>50</v>
      </c>
    </row>
    <row r="138" spans="1:14" ht="27" customHeight="1" thickBot="1" x14ac:dyDescent="0.25">
      <c r="A138" s="279" t="s">
        <v>368</v>
      </c>
      <c r="B138" s="248" t="s">
        <v>314</v>
      </c>
      <c r="C138" s="293" t="s">
        <v>138</v>
      </c>
      <c r="D138" s="281" t="s">
        <v>80</v>
      </c>
      <c r="E138" s="421" t="s">
        <v>570</v>
      </c>
      <c r="F138" s="281" t="s">
        <v>256</v>
      </c>
      <c r="G138" s="249"/>
      <c r="H138" s="250"/>
      <c r="I138" s="250"/>
      <c r="J138" s="250"/>
      <c r="K138" s="285">
        <v>421.6</v>
      </c>
      <c r="L138" s="295"/>
      <c r="M138" s="295">
        <v>421.6</v>
      </c>
      <c r="N138" s="254">
        <v>50</v>
      </c>
    </row>
    <row r="139" spans="1:14" ht="13.5" thickBot="1" x14ac:dyDescent="0.25">
      <c r="A139" s="375" t="s">
        <v>477</v>
      </c>
      <c r="B139" s="389" t="s">
        <v>271</v>
      </c>
      <c r="C139" s="377">
        <v>993</v>
      </c>
      <c r="D139" s="419" t="s">
        <v>80</v>
      </c>
      <c r="E139" s="422" t="s">
        <v>575</v>
      </c>
      <c r="F139" s="420"/>
      <c r="G139" s="346"/>
      <c r="H139" s="347">
        <f>H140</f>
        <v>228.1</v>
      </c>
      <c r="I139" s="347">
        <f>I140</f>
        <v>101.4</v>
      </c>
      <c r="J139" s="347">
        <f>J140</f>
        <v>152.1</v>
      </c>
      <c r="K139" s="378">
        <f>K140+K143+K146</f>
        <v>5808.7999999999993</v>
      </c>
      <c r="L139" s="378">
        <f>L140+L143+L146</f>
        <v>3821.0000000000005</v>
      </c>
      <c r="M139" s="378">
        <f>M140+M143+M146</f>
        <v>5808.7999999999993</v>
      </c>
      <c r="N139" s="379">
        <f>N140+N143+N146+N149</f>
        <v>18701.899999999998</v>
      </c>
    </row>
    <row r="140" spans="1:14" ht="24" x14ac:dyDescent="0.2">
      <c r="A140" s="286" t="s">
        <v>478</v>
      </c>
      <c r="B140" s="287" t="s">
        <v>448</v>
      </c>
      <c r="C140" s="288" t="s">
        <v>138</v>
      </c>
      <c r="D140" s="270" t="s">
        <v>80</v>
      </c>
      <c r="E140" s="271" t="s">
        <v>572</v>
      </c>
      <c r="F140" s="270"/>
      <c r="G140" s="249"/>
      <c r="H140" s="250">
        <f>[2]роспись!H96</f>
        <v>228.1</v>
      </c>
      <c r="I140" s="250">
        <v>101.4</v>
      </c>
      <c r="J140" s="250">
        <v>152.1</v>
      </c>
      <c r="K140" s="296">
        <f>K142</f>
        <v>3232.7</v>
      </c>
      <c r="L140" s="296">
        <f>L142</f>
        <v>1940.7</v>
      </c>
      <c r="M140" s="296">
        <f>M142</f>
        <v>3232.7</v>
      </c>
      <c r="N140" s="297">
        <f>N142</f>
        <v>16814.5</v>
      </c>
    </row>
    <row r="141" spans="1:14" ht="22.5" customHeight="1" x14ac:dyDescent="0.2">
      <c r="A141" s="266" t="s">
        <v>479</v>
      </c>
      <c r="B141" s="257" t="s">
        <v>349</v>
      </c>
      <c r="C141" s="275" t="s">
        <v>138</v>
      </c>
      <c r="D141" s="255" t="s">
        <v>80</v>
      </c>
      <c r="E141" s="271" t="s">
        <v>572</v>
      </c>
      <c r="F141" s="255" t="s">
        <v>348</v>
      </c>
      <c r="G141" s="249"/>
      <c r="H141" s="250">
        <f t="shared" ref="H141:J142" si="14">H142</f>
        <v>400</v>
      </c>
      <c r="I141" s="250">
        <f t="shared" si="14"/>
        <v>220</v>
      </c>
      <c r="J141" s="250">
        <f t="shared" si="14"/>
        <v>400</v>
      </c>
      <c r="K141" s="251">
        <f>3844.9-612.2</f>
        <v>3232.7</v>
      </c>
      <c r="L141" s="251">
        <v>1940.7</v>
      </c>
      <c r="M141" s="251">
        <v>3232.7</v>
      </c>
      <c r="N141" s="254">
        <f>N142</f>
        <v>16814.5</v>
      </c>
    </row>
    <row r="142" spans="1:14" ht="26.25" customHeight="1" x14ac:dyDescent="0.2">
      <c r="A142" s="266" t="s">
        <v>480</v>
      </c>
      <c r="B142" s="248" t="s">
        <v>314</v>
      </c>
      <c r="C142" s="275" t="s">
        <v>138</v>
      </c>
      <c r="D142" s="255" t="s">
        <v>80</v>
      </c>
      <c r="E142" s="271" t="s">
        <v>572</v>
      </c>
      <c r="F142" s="255" t="s">
        <v>256</v>
      </c>
      <c r="G142" s="249"/>
      <c r="H142" s="250">
        <f t="shared" si="14"/>
        <v>400</v>
      </c>
      <c r="I142" s="250">
        <f t="shared" si="14"/>
        <v>220</v>
      </c>
      <c r="J142" s="250">
        <f t="shared" si="14"/>
        <v>400</v>
      </c>
      <c r="K142" s="251">
        <f>3844.9-612.2</f>
        <v>3232.7</v>
      </c>
      <c r="L142" s="251">
        <v>1940.7</v>
      </c>
      <c r="M142" s="251">
        <v>3232.7</v>
      </c>
      <c r="N142" s="254">
        <v>16814.5</v>
      </c>
    </row>
    <row r="143" spans="1:14" ht="18" customHeight="1" x14ac:dyDescent="0.2">
      <c r="A143" s="266" t="s">
        <v>481</v>
      </c>
      <c r="B143" s="257" t="s">
        <v>449</v>
      </c>
      <c r="C143" s="275" t="s">
        <v>138</v>
      </c>
      <c r="D143" s="255" t="s">
        <v>80</v>
      </c>
      <c r="E143" s="271" t="s">
        <v>573</v>
      </c>
      <c r="F143" s="255"/>
      <c r="G143" s="249"/>
      <c r="H143" s="250">
        <f>H145</f>
        <v>400</v>
      </c>
      <c r="I143" s="250">
        <f t="shared" ref="I143:N143" si="15">I145</f>
        <v>220</v>
      </c>
      <c r="J143" s="250">
        <f t="shared" si="15"/>
        <v>400</v>
      </c>
      <c r="K143" s="251">
        <v>2076.1</v>
      </c>
      <c r="L143" s="250">
        <f t="shared" si="15"/>
        <v>1865.4</v>
      </c>
      <c r="M143" s="250">
        <f t="shared" si="15"/>
        <v>2076.1</v>
      </c>
      <c r="N143" s="254">
        <f t="shared" si="15"/>
        <v>793.6</v>
      </c>
    </row>
    <row r="144" spans="1:14" ht="26.25" customHeight="1" x14ac:dyDescent="0.2">
      <c r="A144" s="266" t="s">
        <v>482</v>
      </c>
      <c r="B144" s="257" t="s">
        <v>349</v>
      </c>
      <c r="C144" s="275" t="s">
        <v>138</v>
      </c>
      <c r="D144" s="255" t="s">
        <v>80</v>
      </c>
      <c r="E144" s="271" t="s">
        <v>573</v>
      </c>
      <c r="F144" s="255" t="s">
        <v>348</v>
      </c>
      <c r="G144" s="249"/>
      <c r="H144" s="250">
        <f t="shared" ref="H144:J145" si="16">H145</f>
        <v>400</v>
      </c>
      <c r="I144" s="250">
        <f t="shared" si="16"/>
        <v>220</v>
      </c>
      <c r="J144" s="250">
        <f t="shared" si="16"/>
        <v>400</v>
      </c>
      <c r="K144" s="251">
        <v>2076.1</v>
      </c>
      <c r="L144" s="251">
        <v>1865.4</v>
      </c>
      <c r="M144" s="251">
        <v>2076.1</v>
      </c>
      <c r="N144" s="254">
        <f>N145</f>
        <v>793.6</v>
      </c>
    </row>
    <row r="145" spans="1:14" ht="27" customHeight="1" x14ac:dyDescent="0.2">
      <c r="A145" s="266" t="s">
        <v>483</v>
      </c>
      <c r="B145" s="248" t="s">
        <v>314</v>
      </c>
      <c r="C145" s="275" t="s">
        <v>138</v>
      </c>
      <c r="D145" s="255" t="s">
        <v>80</v>
      </c>
      <c r="E145" s="271" t="s">
        <v>573</v>
      </c>
      <c r="F145" s="255" t="s">
        <v>256</v>
      </c>
      <c r="G145" s="249"/>
      <c r="H145" s="250">
        <f t="shared" si="16"/>
        <v>400</v>
      </c>
      <c r="I145" s="250">
        <f t="shared" si="16"/>
        <v>220</v>
      </c>
      <c r="J145" s="250">
        <f t="shared" si="16"/>
        <v>400</v>
      </c>
      <c r="K145" s="251">
        <v>2076.1</v>
      </c>
      <c r="L145" s="251">
        <v>1865.4</v>
      </c>
      <c r="M145" s="251">
        <v>2076.1</v>
      </c>
      <c r="N145" s="254">
        <v>793.6</v>
      </c>
    </row>
    <row r="146" spans="1:14" ht="21" customHeight="1" x14ac:dyDescent="0.2">
      <c r="A146" s="266" t="s">
        <v>484</v>
      </c>
      <c r="B146" s="257" t="s">
        <v>82</v>
      </c>
      <c r="C146" s="275" t="s">
        <v>138</v>
      </c>
      <c r="D146" s="255" t="s">
        <v>80</v>
      </c>
      <c r="E146" s="271" t="s">
        <v>574</v>
      </c>
      <c r="F146" s="255"/>
      <c r="G146" s="249"/>
      <c r="H146" s="250">
        <v>400</v>
      </c>
      <c r="I146" s="250">
        <v>220</v>
      </c>
      <c r="J146" s="250">
        <v>400</v>
      </c>
      <c r="K146" s="251">
        <f>K148</f>
        <v>500</v>
      </c>
      <c r="L146" s="251">
        <f>L148</f>
        <v>14.9</v>
      </c>
      <c r="M146" s="251">
        <f>M148</f>
        <v>500</v>
      </c>
      <c r="N146" s="254">
        <f>N148</f>
        <v>700</v>
      </c>
    </row>
    <row r="147" spans="1:14" ht="24.75" customHeight="1" x14ac:dyDescent="0.2">
      <c r="A147" s="279" t="s">
        <v>485</v>
      </c>
      <c r="B147" s="257" t="s">
        <v>349</v>
      </c>
      <c r="C147" s="293" t="s">
        <v>138</v>
      </c>
      <c r="D147" s="281" t="s">
        <v>80</v>
      </c>
      <c r="E147" s="271" t="s">
        <v>574</v>
      </c>
      <c r="F147" s="255" t="s">
        <v>348</v>
      </c>
      <c r="G147" s="249"/>
      <c r="H147" s="250" t="e">
        <f t="shared" ref="H147:J148" si="17">H156</f>
        <v>#REF!</v>
      </c>
      <c r="I147" s="250" t="e">
        <f t="shared" si="17"/>
        <v>#REF!</v>
      </c>
      <c r="J147" s="250" t="e">
        <f t="shared" si="17"/>
        <v>#REF!</v>
      </c>
      <c r="K147" s="298">
        <v>500</v>
      </c>
      <c r="L147" s="298">
        <v>14.9</v>
      </c>
      <c r="M147" s="298">
        <v>500</v>
      </c>
      <c r="N147" s="299">
        <f>N148</f>
        <v>700</v>
      </c>
    </row>
    <row r="148" spans="1:14" ht="27" customHeight="1" x14ac:dyDescent="0.2">
      <c r="A148" s="279" t="s">
        <v>486</v>
      </c>
      <c r="B148" s="248" t="s">
        <v>314</v>
      </c>
      <c r="C148" s="293" t="s">
        <v>138</v>
      </c>
      <c r="D148" s="281" t="s">
        <v>80</v>
      </c>
      <c r="E148" s="271" t="s">
        <v>574</v>
      </c>
      <c r="F148" s="255" t="s">
        <v>256</v>
      </c>
      <c r="G148" s="249"/>
      <c r="H148" s="250" t="e">
        <f t="shared" si="17"/>
        <v>#REF!</v>
      </c>
      <c r="I148" s="250" t="e">
        <f t="shared" si="17"/>
        <v>#REF!</v>
      </c>
      <c r="J148" s="250" t="e">
        <f t="shared" si="17"/>
        <v>#REF!</v>
      </c>
      <c r="K148" s="298">
        <v>500</v>
      </c>
      <c r="L148" s="298">
        <v>14.9</v>
      </c>
      <c r="M148" s="298">
        <v>500</v>
      </c>
      <c r="N148" s="299">
        <v>700</v>
      </c>
    </row>
    <row r="149" spans="1:14" ht="24" x14ac:dyDescent="0.2">
      <c r="A149" s="498" t="s">
        <v>640</v>
      </c>
      <c r="B149" s="499" t="s">
        <v>648</v>
      </c>
      <c r="C149" s="500" t="s">
        <v>138</v>
      </c>
      <c r="D149" s="501" t="s">
        <v>80</v>
      </c>
      <c r="E149" s="345" t="s">
        <v>639</v>
      </c>
      <c r="F149" s="501"/>
      <c r="G149" s="346"/>
      <c r="H149" s="347">
        <v>400</v>
      </c>
      <c r="I149" s="347">
        <v>220</v>
      </c>
      <c r="J149" s="347">
        <v>400</v>
      </c>
      <c r="K149" s="352">
        <f>K151</f>
        <v>500</v>
      </c>
      <c r="L149" s="352">
        <f>L151</f>
        <v>14.9</v>
      </c>
      <c r="M149" s="352">
        <f>M151</f>
        <v>500</v>
      </c>
      <c r="N149" s="353">
        <f>N151</f>
        <v>393.8</v>
      </c>
    </row>
    <row r="150" spans="1:14" ht="27" customHeight="1" x14ac:dyDescent="0.2">
      <c r="A150" s="502" t="s">
        <v>641</v>
      </c>
      <c r="B150" s="503" t="s">
        <v>349</v>
      </c>
      <c r="C150" s="504" t="s">
        <v>138</v>
      </c>
      <c r="D150" s="505" t="s">
        <v>80</v>
      </c>
      <c r="E150" s="271" t="s">
        <v>639</v>
      </c>
      <c r="F150" s="506" t="s">
        <v>348</v>
      </c>
      <c r="G150" s="249"/>
      <c r="H150" s="250">
        <f t="shared" ref="H150:J151" si="18">H159</f>
        <v>0</v>
      </c>
      <c r="I150" s="250">
        <f t="shared" si="18"/>
        <v>0</v>
      </c>
      <c r="J150" s="250">
        <f t="shared" si="18"/>
        <v>0</v>
      </c>
      <c r="K150" s="298">
        <v>500</v>
      </c>
      <c r="L150" s="298">
        <v>14.9</v>
      </c>
      <c r="M150" s="298">
        <v>500</v>
      </c>
      <c r="N150" s="299">
        <f>N151</f>
        <v>393.8</v>
      </c>
    </row>
    <row r="151" spans="1:14" ht="27" customHeight="1" thickBot="1" x14ac:dyDescent="0.25">
      <c r="A151" s="502" t="s">
        <v>641</v>
      </c>
      <c r="B151" s="248" t="s">
        <v>314</v>
      </c>
      <c r="C151" s="504" t="s">
        <v>138</v>
      </c>
      <c r="D151" s="505" t="s">
        <v>80</v>
      </c>
      <c r="E151" s="271" t="s">
        <v>639</v>
      </c>
      <c r="F151" s="506" t="s">
        <v>256</v>
      </c>
      <c r="G151" s="249"/>
      <c r="H151" s="250">
        <f t="shared" si="18"/>
        <v>0</v>
      </c>
      <c r="I151" s="250">
        <f t="shared" si="18"/>
        <v>0</v>
      </c>
      <c r="J151" s="250">
        <f t="shared" si="18"/>
        <v>0</v>
      </c>
      <c r="K151" s="298">
        <v>500</v>
      </c>
      <c r="L151" s="298">
        <v>14.9</v>
      </c>
      <c r="M151" s="298">
        <v>500</v>
      </c>
      <c r="N151" s="299">
        <f>740-346.2</f>
        <v>393.8</v>
      </c>
    </row>
    <row r="152" spans="1:14" ht="13.5" thickBot="1" x14ac:dyDescent="0.25">
      <c r="A152" s="375" t="s">
        <v>42</v>
      </c>
      <c r="B152" s="376" t="s">
        <v>34</v>
      </c>
      <c r="C152" s="377" t="s">
        <v>138</v>
      </c>
      <c r="D152" s="377" t="s">
        <v>22</v>
      </c>
      <c r="E152" s="377"/>
      <c r="F152" s="377"/>
      <c r="G152" s="346"/>
      <c r="H152" s="347" t="e">
        <f t="shared" ref="H152:M152" si="19">H157</f>
        <v>#REF!</v>
      </c>
      <c r="I152" s="347" t="e">
        <f t="shared" si="19"/>
        <v>#REF!</v>
      </c>
      <c r="J152" s="347" t="e">
        <f t="shared" si="19"/>
        <v>#REF!</v>
      </c>
      <c r="K152" s="378" t="e">
        <f t="shared" si="19"/>
        <v>#REF!</v>
      </c>
      <c r="L152" s="378" t="e">
        <f t="shared" si="19"/>
        <v>#REF!</v>
      </c>
      <c r="M152" s="378" t="e">
        <f t="shared" si="19"/>
        <v>#REF!</v>
      </c>
      <c r="N152" s="379">
        <f>N157+N153</f>
        <v>156.80000000000001</v>
      </c>
    </row>
    <row r="153" spans="1:14" ht="24.75" customHeight="1" x14ac:dyDescent="0.2">
      <c r="A153" s="380" t="s">
        <v>169</v>
      </c>
      <c r="B153" s="381" t="s">
        <v>338</v>
      </c>
      <c r="C153" s="345" t="s">
        <v>138</v>
      </c>
      <c r="D153" s="345" t="s">
        <v>337</v>
      </c>
      <c r="E153" s="345"/>
      <c r="F153" s="345"/>
      <c r="G153" s="346"/>
      <c r="H153" s="347" t="e">
        <f>H157</f>
        <v>#REF!</v>
      </c>
      <c r="I153" s="347" t="e">
        <f>I157</f>
        <v>#REF!</v>
      </c>
      <c r="J153" s="347" t="e">
        <f>J157</f>
        <v>#REF!</v>
      </c>
      <c r="K153" s="348" t="e">
        <f>K157+#REF!+#REF!</f>
        <v>#REF!</v>
      </c>
      <c r="L153" s="348" t="e">
        <f>L157+#REF!+#REF!</f>
        <v>#REF!</v>
      </c>
      <c r="M153" s="348" t="e">
        <f>M157+#REF!+#REF!</f>
        <v>#REF!</v>
      </c>
      <c r="N153" s="349">
        <f>N154</f>
        <v>61.8</v>
      </c>
    </row>
    <row r="154" spans="1:14" ht="84" customHeight="1" x14ac:dyDescent="0.2">
      <c r="A154" s="363" t="s">
        <v>79</v>
      </c>
      <c r="B154" s="358" t="s">
        <v>445</v>
      </c>
      <c r="C154" s="346" t="s">
        <v>138</v>
      </c>
      <c r="D154" s="346" t="s">
        <v>337</v>
      </c>
      <c r="E154" s="346" t="s">
        <v>576</v>
      </c>
      <c r="F154" s="346"/>
      <c r="G154" s="346"/>
      <c r="H154" s="347" t="e">
        <f>[2]роспись!H101</f>
        <v>#REF!</v>
      </c>
      <c r="I154" s="347">
        <v>309.39999999999998</v>
      </c>
      <c r="J154" s="347">
        <v>500</v>
      </c>
      <c r="K154" s="352" t="e">
        <f>K157</f>
        <v>#REF!</v>
      </c>
      <c r="L154" s="352" t="e">
        <f>L157</f>
        <v>#REF!</v>
      </c>
      <c r="M154" s="352" t="e">
        <f>M157</f>
        <v>#REF!</v>
      </c>
      <c r="N154" s="353">
        <f>N156</f>
        <v>61.8</v>
      </c>
    </row>
    <row r="155" spans="1:14" ht="25.5" customHeight="1" x14ac:dyDescent="0.2">
      <c r="A155" s="262" t="s">
        <v>151</v>
      </c>
      <c r="B155" s="257" t="s">
        <v>349</v>
      </c>
      <c r="C155" s="249" t="s">
        <v>138</v>
      </c>
      <c r="D155" s="249" t="s">
        <v>337</v>
      </c>
      <c r="E155" s="249" t="s">
        <v>576</v>
      </c>
      <c r="F155" s="249" t="s">
        <v>348</v>
      </c>
      <c r="G155" s="258"/>
      <c r="H155" s="260" t="e">
        <f>H5+#REF!</f>
        <v>#REF!</v>
      </c>
      <c r="I155" s="260" t="e">
        <f>I5+#REF!</f>
        <v>#REF!</v>
      </c>
      <c r="J155" s="260" t="e">
        <f>J5+#REF!</f>
        <v>#REF!</v>
      </c>
      <c r="K155" s="251">
        <v>299</v>
      </c>
      <c r="L155" s="251">
        <v>243.6</v>
      </c>
      <c r="M155" s="251">
        <v>299</v>
      </c>
      <c r="N155" s="299">
        <f>N156</f>
        <v>61.8</v>
      </c>
    </row>
    <row r="156" spans="1:14" ht="26.25" customHeight="1" x14ac:dyDescent="0.2">
      <c r="A156" s="262" t="s">
        <v>370</v>
      </c>
      <c r="B156" s="248" t="s">
        <v>314</v>
      </c>
      <c r="C156" s="249" t="s">
        <v>138</v>
      </c>
      <c r="D156" s="249" t="s">
        <v>337</v>
      </c>
      <c r="E156" s="249" t="s">
        <v>576</v>
      </c>
      <c r="F156" s="249" t="s">
        <v>256</v>
      </c>
      <c r="G156" s="258"/>
      <c r="H156" s="260" t="e">
        <f>H6+#REF!</f>
        <v>#REF!</v>
      </c>
      <c r="I156" s="260" t="e">
        <f>I6+#REF!</f>
        <v>#REF!</v>
      </c>
      <c r="J156" s="260" t="e">
        <f>J6+#REF!</f>
        <v>#REF!</v>
      </c>
      <c r="K156" s="251">
        <v>299</v>
      </c>
      <c r="L156" s="251">
        <v>243.6</v>
      </c>
      <c r="M156" s="251">
        <v>299</v>
      </c>
      <c r="N156" s="299">
        <v>61.8</v>
      </c>
    </row>
    <row r="157" spans="1:14" ht="18.75" customHeight="1" x14ac:dyDescent="0.2">
      <c r="A157" s="380" t="s">
        <v>339</v>
      </c>
      <c r="B157" s="381" t="s">
        <v>613</v>
      </c>
      <c r="C157" s="345" t="s">
        <v>138</v>
      </c>
      <c r="D157" s="345" t="s">
        <v>23</v>
      </c>
      <c r="E157" s="345"/>
      <c r="F157" s="346"/>
      <c r="G157" s="346"/>
      <c r="H157" s="347" t="e">
        <f>#REF!</f>
        <v>#REF!</v>
      </c>
      <c r="I157" s="347" t="e">
        <f>#REF!</f>
        <v>#REF!</v>
      </c>
      <c r="J157" s="347" t="e">
        <f>#REF!</f>
        <v>#REF!</v>
      </c>
      <c r="K157" s="348" t="e">
        <f>#REF!+#REF!+K158</f>
        <v>#REF!</v>
      </c>
      <c r="L157" s="348" t="e">
        <f>#REF!+#REF!+L158</f>
        <v>#REF!</v>
      </c>
      <c r="M157" s="348" t="e">
        <f>#REF!+#REF!+M158</f>
        <v>#REF!</v>
      </c>
      <c r="N157" s="395">
        <f>N158</f>
        <v>95</v>
      </c>
    </row>
    <row r="158" spans="1:14" ht="50.25" customHeight="1" x14ac:dyDescent="0.2">
      <c r="A158" s="363" t="s">
        <v>340</v>
      </c>
      <c r="B158" s="396" t="s">
        <v>450</v>
      </c>
      <c r="C158" s="346" t="s">
        <v>138</v>
      </c>
      <c r="D158" s="346" t="s">
        <v>23</v>
      </c>
      <c r="E158" s="346" t="s">
        <v>597</v>
      </c>
      <c r="F158" s="346"/>
      <c r="G158" s="397"/>
      <c r="H158" s="398"/>
      <c r="I158" s="399"/>
      <c r="J158" s="399"/>
      <c r="K158" s="352">
        <f>K160</f>
        <v>120</v>
      </c>
      <c r="L158" s="352">
        <f>L160</f>
        <v>100</v>
      </c>
      <c r="M158" s="352">
        <f>M160</f>
        <v>120</v>
      </c>
      <c r="N158" s="353">
        <f>N160</f>
        <v>95</v>
      </c>
    </row>
    <row r="159" spans="1:14" ht="32.25" customHeight="1" x14ac:dyDescent="0.2">
      <c r="A159" s="305" t="s">
        <v>341</v>
      </c>
      <c r="B159" s="257" t="s">
        <v>349</v>
      </c>
      <c r="C159" s="306">
        <v>993</v>
      </c>
      <c r="D159" s="282" t="s">
        <v>23</v>
      </c>
      <c r="E159" s="249" t="s">
        <v>597</v>
      </c>
      <c r="F159" s="249" t="s">
        <v>348</v>
      </c>
      <c r="G159" s="301"/>
      <c r="H159" s="302"/>
      <c r="I159" s="303"/>
      <c r="J159" s="303"/>
      <c r="K159" s="298">
        <v>120</v>
      </c>
      <c r="L159" s="298">
        <v>100</v>
      </c>
      <c r="M159" s="298">
        <v>120</v>
      </c>
      <c r="N159" s="299">
        <f>N160</f>
        <v>95</v>
      </c>
    </row>
    <row r="160" spans="1:14" ht="27.75" customHeight="1" thickBot="1" x14ac:dyDescent="0.25">
      <c r="A160" s="305" t="s">
        <v>371</v>
      </c>
      <c r="B160" s="248" t="s">
        <v>314</v>
      </c>
      <c r="C160" s="306">
        <v>993</v>
      </c>
      <c r="D160" s="282" t="s">
        <v>23</v>
      </c>
      <c r="E160" s="249" t="s">
        <v>597</v>
      </c>
      <c r="F160" s="249" t="s">
        <v>256</v>
      </c>
      <c r="G160" s="301"/>
      <c r="H160" s="302"/>
      <c r="I160" s="303"/>
      <c r="J160" s="303"/>
      <c r="K160" s="298">
        <v>120</v>
      </c>
      <c r="L160" s="298">
        <v>100</v>
      </c>
      <c r="M160" s="298">
        <v>120</v>
      </c>
      <c r="N160" s="299">
        <v>95</v>
      </c>
    </row>
    <row r="161" spans="1:14" ht="13.5" thickBot="1" x14ac:dyDescent="0.25">
      <c r="A161" s="375" t="s">
        <v>48</v>
      </c>
      <c r="B161" s="376" t="s">
        <v>208</v>
      </c>
      <c r="C161" s="377" t="s">
        <v>138</v>
      </c>
      <c r="D161" s="377" t="s">
        <v>24</v>
      </c>
      <c r="E161" s="377"/>
      <c r="F161" s="377"/>
      <c r="G161" s="301"/>
      <c r="H161" s="302"/>
      <c r="I161" s="303"/>
      <c r="J161" s="303"/>
      <c r="K161" s="378">
        <f>K162</f>
        <v>2689</v>
      </c>
      <c r="L161" s="378">
        <f>L162</f>
        <v>1456</v>
      </c>
      <c r="M161" s="378">
        <f>M162</f>
        <v>2689</v>
      </c>
      <c r="N161" s="379">
        <f>N162+N166</f>
        <v>5109</v>
      </c>
    </row>
    <row r="162" spans="1:14" x14ac:dyDescent="0.2">
      <c r="A162" s="380" t="s">
        <v>10</v>
      </c>
      <c r="B162" s="381" t="s">
        <v>38</v>
      </c>
      <c r="C162" s="345" t="s">
        <v>138</v>
      </c>
      <c r="D162" s="345" t="s">
        <v>39</v>
      </c>
      <c r="E162" s="345"/>
      <c r="F162" s="345"/>
      <c r="G162" s="397"/>
      <c r="H162" s="398"/>
      <c r="I162" s="399"/>
      <c r="J162" s="399"/>
      <c r="K162" s="348">
        <f>K163+K166</f>
        <v>2689</v>
      </c>
      <c r="L162" s="348">
        <f>L163+L166</f>
        <v>1456</v>
      </c>
      <c r="M162" s="348">
        <f>M163+M166</f>
        <v>2689</v>
      </c>
      <c r="N162" s="349">
        <f>N163</f>
        <v>4050</v>
      </c>
    </row>
    <row r="163" spans="1:14" ht="62.25" customHeight="1" x14ac:dyDescent="0.2">
      <c r="A163" s="363" t="s">
        <v>51</v>
      </c>
      <c r="B163" s="358" t="s">
        <v>451</v>
      </c>
      <c r="C163" s="346" t="s">
        <v>138</v>
      </c>
      <c r="D163" s="346" t="s">
        <v>39</v>
      </c>
      <c r="E163" s="346" t="s">
        <v>577</v>
      </c>
      <c r="F163" s="346"/>
      <c r="G163" s="397"/>
      <c r="H163" s="398"/>
      <c r="I163" s="399"/>
      <c r="J163" s="399"/>
      <c r="K163" s="352">
        <f>K165</f>
        <v>1918</v>
      </c>
      <c r="L163" s="352">
        <f>L165</f>
        <v>1097.9000000000001</v>
      </c>
      <c r="M163" s="352">
        <f>M165</f>
        <v>1918</v>
      </c>
      <c r="N163" s="353">
        <f>N165</f>
        <v>4050</v>
      </c>
    </row>
    <row r="164" spans="1:14" ht="31.5" customHeight="1" x14ac:dyDescent="0.2">
      <c r="A164" s="262" t="s">
        <v>155</v>
      </c>
      <c r="B164" s="257" t="s">
        <v>349</v>
      </c>
      <c r="C164" s="249" t="s">
        <v>138</v>
      </c>
      <c r="D164" s="249" t="s">
        <v>39</v>
      </c>
      <c r="E164" s="249" t="s">
        <v>577</v>
      </c>
      <c r="F164" s="249" t="s">
        <v>348</v>
      </c>
      <c r="G164" s="301"/>
      <c r="H164" s="302"/>
      <c r="I164" s="303"/>
      <c r="J164" s="303"/>
      <c r="K164" s="251">
        <f>1909+9</f>
        <v>1918</v>
      </c>
      <c r="L164" s="251">
        <v>1097.9000000000001</v>
      </c>
      <c r="M164" s="251">
        <v>1918</v>
      </c>
      <c r="N164" s="299">
        <f>N165</f>
        <v>4050</v>
      </c>
    </row>
    <row r="165" spans="1:14" ht="25.5" customHeight="1" x14ac:dyDescent="0.2">
      <c r="A165" s="262" t="s">
        <v>487</v>
      </c>
      <c r="B165" s="248" t="s">
        <v>314</v>
      </c>
      <c r="C165" s="249" t="s">
        <v>138</v>
      </c>
      <c r="D165" s="249" t="s">
        <v>39</v>
      </c>
      <c r="E165" s="249" t="s">
        <v>577</v>
      </c>
      <c r="F165" s="249" t="s">
        <v>256</v>
      </c>
      <c r="G165" s="301"/>
      <c r="H165" s="302"/>
      <c r="I165" s="303"/>
      <c r="J165" s="303"/>
      <c r="K165" s="251">
        <f>1909+9</f>
        <v>1918</v>
      </c>
      <c r="L165" s="251">
        <v>1097.9000000000001</v>
      </c>
      <c r="M165" s="251">
        <v>1918</v>
      </c>
      <c r="N165" s="299">
        <v>4050</v>
      </c>
    </row>
    <row r="166" spans="1:14" ht="15.75" customHeight="1" x14ac:dyDescent="0.2">
      <c r="A166" s="363" t="s">
        <v>272</v>
      </c>
      <c r="B166" s="396" t="s">
        <v>318</v>
      </c>
      <c r="C166" s="346" t="s">
        <v>138</v>
      </c>
      <c r="D166" s="346" t="s">
        <v>273</v>
      </c>
      <c r="E166" s="346"/>
      <c r="F166" s="346"/>
      <c r="G166" s="397"/>
      <c r="H166" s="398"/>
      <c r="I166" s="399"/>
      <c r="J166" s="399"/>
      <c r="K166" s="352">
        <f>K169</f>
        <v>771</v>
      </c>
      <c r="L166" s="352">
        <f>L169</f>
        <v>358.1</v>
      </c>
      <c r="M166" s="352">
        <f>M169</f>
        <v>771</v>
      </c>
      <c r="N166" s="353">
        <f>N169</f>
        <v>1059</v>
      </c>
    </row>
    <row r="167" spans="1:14" ht="27" customHeight="1" x14ac:dyDescent="0.2">
      <c r="A167" s="400" t="s">
        <v>319</v>
      </c>
      <c r="B167" s="401" t="s">
        <v>452</v>
      </c>
      <c r="C167" s="393" t="s">
        <v>138</v>
      </c>
      <c r="D167" s="393" t="s">
        <v>273</v>
      </c>
      <c r="E167" s="346" t="s">
        <v>578</v>
      </c>
      <c r="F167" s="393"/>
      <c r="G167" s="397"/>
      <c r="H167" s="398"/>
      <c r="I167" s="399"/>
      <c r="J167" s="399"/>
      <c r="K167" s="402"/>
      <c r="L167" s="402"/>
      <c r="M167" s="402"/>
      <c r="N167" s="403">
        <f>N169</f>
        <v>1059</v>
      </c>
    </row>
    <row r="168" spans="1:14" ht="30" customHeight="1" x14ac:dyDescent="0.2">
      <c r="A168" s="305" t="s">
        <v>274</v>
      </c>
      <c r="B168" s="257" t="s">
        <v>349</v>
      </c>
      <c r="C168" s="282" t="s">
        <v>138</v>
      </c>
      <c r="D168" s="282" t="s">
        <v>273</v>
      </c>
      <c r="E168" s="249" t="s">
        <v>578</v>
      </c>
      <c r="F168" s="249" t="s">
        <v>348</v>
      </c>
      <c r="G168" s="301"/>
      <c r="H168" s="302"/>
      <c r="I168" s="303"/>
      <c r="J168" s="303"/>
      <c r="K168" s="298">
        <f>736+35</f>
        <v>771</v>
      </c>
      <c r="L168" s="298">
        <v>358.1</v>
      </c>
      <c r="M168" s="298">
        <v>771</v>
      </c>
      <c r="N168" s="299">
        <f>N169</f>
        <v>1059</v>
      </c>
    </row>
    <row r="169" spans="1:14" ht="27" customHeight="1" thickBot="1" x14ac:dyDescent="0.25">
      <c r="A169" s="305" t="s">
        <v>372</v>
      </c>
      <c r="B169" s="248" t="s">
        <v>314</v>
      </c>
      <c r="C169" s="282" t="s">
        <v>138</v>
      </c>
      <c r="D169" s="282" t="s">
        <v>273</v>
      </c>
      <c r="E169" s="249" t="s">
        <v>578</v>
      </c>
      <c r="F169" s="249" t="s">
        <v>256</v>
      </c>
      <c r="G169" s="301"/>
      <c r="H169" s="302"/>
      <c r="I169" s="303"/>
      <c r="J169" s="303"/>
      <c r="K169" s="298">
        <f>736+35</f>
        <v>771</v>
      </c>
      <c r="L169" s="298">
        <v>358.1</v>
      </c>
      <c r="M169" s="298">
        <v>771</v>
      </c>
      <c r="N169" s="299">
        <v>1059</v>
      </c>
    </row>
    <row r="170" spans="1:14" ht="13.5" thickBot="1" x14ac:dyDescent="0.25">
      <c r="A170" s="375" t="s">
        <v>41</v>
      </c>
      <c r="B170" s="376" t="s">
        <v>35</v>
      </c>
      <c r="C170" s="377" t="s">
        <v>138</v>
      </c>
      <c r="D170" s="377">
        <v>1000</v>
      </c>
      <c r="E170" s="377"/>
      <c r="F170" s="377"/>
      <c r="G170" s="301"/>
      <c r="H170" s="302"/>
      <c r="I170" s="303"/>
      <c r="J170" s="303"/>
      <c r="K170" s="378" t="e">
        <f>K177+K171</f>
        <v>#REF!</v>
      </c>
      <c r="L170" s="378" t="e">
        <f>L177+L171</f>
        <v>#REF!</v>
      </c>
      <c r="M170" s="378" t="e">
        <f>M177+M171</f>
        <v>#REF!</v>
      </c>
      <c r="N170" s="379">
        <f>N171+N174+N177</f>
        <v>1548.1999999999998</v>
      </c>
    </row>
    <row r="171" spans="1:14" ht="20.25" customHeight="1" x14ac:dyDescent="0.2">
      <c r="A171" s="380" t="s">
        <v>156</v>
      </c>
      <c r="B171" s="344" t="s">
        <v>221</v>
      </c>
      <c r="C171" s="345" t="s">
        <v>138</v>
      </c>
      <c r="D171" s="345" t="s">
        <v>220</v>
      </c>
      <c r="E171" s="345" t="s">
        <v>657</v>
      </c>
      <c r="F171" s="345"/>
      <c r="G171" s="301"/>
      <c r="H171" s="302"/>
      <c r="I171" s="303"/>
      <c r="J171" s="303"/>
      <c r="K171" s="348">
        <f>K174</f>
        <v>172.4</v>
      </c>
      <c r="L171" s="348">
        <f>L174</f>
        <v>114.9</v>
      </c>
      <c r="M171" s="348">
        <f>M174</f>
        <v>172.4</v>
      </c>
      <c r="N171" s="349">
        <v>300</v>
      </c>
    </row>
    <row r="172" spans="1:14" ht="36" customHeight="1" x14ac:dyDescent="0.2">
      <c r="A172" s="380" t="s">
        <v>72</v>
      </c>
      <c r="B172" s="513" t="s">
        <v>662</v>
      </c>
      <c r="C172" s="271" t="s">
        <v>138</v>
      </c>
      <c r="D172" s="271" t="s">
        <v>220</v>
      </c>
      <c r="E172" s="271" t="s">
        <v>657</v>
      </c>
      <c r="F172" s="271" t="s">
        <v>357</v>
      </c>
      <c r="G172" s="301"/>
      <c r="H172" s="302"/>
      <c r="I172" s="303"/>
      <c r="J172" s="303"/>
      <c r="K172" s="348"/>
      <c r="L172" s="348"/>
      <c r="M172" s="348"/>
      <c r="N172" s="297">
        <f>N173</f>
        <v>300</v>
      </c>
    </row>
    <row r="173" spans="1:14" ht="32.25" customHeight="1" x14ac:dyDescent="0.2">
      <c r="A173" s="380" t="s">
        <v>275</v>
      </c>
      <c r="B173" s="513" t="s">
        <v>656</v>
      </c>
      <c r="C173" s="271" t="s">
        <v>138</v>
      </c>
      <c r="D173" s="271" t="s">
        <v>220</v>
      </c>
      <c r="E173" s="271" t="s">
        <v>657</v>
      </c>
      <c r="F173" s="271" t="s">
        <v>658</v>
      </c>
      <c r="G173" s="301"/>
      <c r="H173" s="302"/>
      <c r="I173" s="303"/>
      <c r="J173" s="303"/>
      <c r="K173" s="348"/>
      <c r="L173" s="348"/>
      <c r="M173" s="348"/>
      <c r="N173" s="297">
        <v>300</v>
      </c>
    </row>
    <row r="174" spans="1:14" ht="42.75" customHeight="1" x14ac:dyDescent="0.2">
      <c r="A174" s="363" t="s">
        <v>659</v>
      </c>
      <c r="B174" s="404" t="s">
        <v>222</v>
      </c>
      <c r="C174" s="355" t="s">
        <v>138</v>
      </c>
      <c r="D174" s="355" t="s">
        <v>220</v>
      </c>
      <c r="E174" s="393" t="s">
        <v>579</v>
      </c>
      <c r="F174" s="355"/>
      <c r="G174" s="397"/>
      <c r="H174" s="398"/>
      <c r="I174" s="399"/>
      <c r="J174" s="399"/>
      <c r="K174" s="352">
        <f>K176</f>
        <v>172.4</v>
      </c>
      <c r="L174" s="352">
        <f>L176</f>
        <v>114.9</v>
      </c>
      <c r="M174" s="352">
        <f>M176</f>
        <v>172.4</v>
      </c>
      <c r="N174" s="353">
        <f>N176</f>
        <v>250.4</v>
      </c>
    </row>
    <row r="175" spans="1:14" ht="19.5" customHeight="1" x14ac:dyDescent="0.2">
      <c r="A175" s="305" t="s">
        <v>660</v>
      </c>
      <c r="B175" s="292" t="s">
        <v>359</v>
      </c>
      <c r="C175" s="281" t="s">
        <v>138</v>
      </c>
      <c r="D175" s="281" t="s">
        <v>220</v>
      </c>
      <c r="E175" s="282" t="s">
        <v>579</v>
      </c>
      <c r="F175" s="281" t="s">
        <v>357</v>
      </c>
      <c r="G175" s="301"/>
      <c r="H175" s="302"/>
      <c r="I175" s="303"/>
      <c r="J175" s="303"/>
      <c r="K175" s="251">
        <v>172.4</v>
      </c>
      <c r="L175" s="251">
        <v>114.9</v>
      </c>
      <c r="M175" s="251">
        <v>172.4</v>
      </c>
      <c r="N175" s="254">
        <f>N176</f>
        <v>250.4</v>
      </c>
    </row>
    <row r="176" spans="1:14" ht="20.25" customHeight="1" x14ac:dyDescent="0.2">
      <c r="A176" s="305" t="s">
        <v>661</v>
      </c>
      <c r="B176" s="292" t="s">
        <v>360</v>
      </c>
      <c r="C176" s="281" t="s">
        <v>138</v>
      </c>
      <c r="D176" s="281" t="s">
        <v>220</v>
      </c>
      <c r="E176" s="282" t="s">
        <v>579</v>
      </c>
      <c r="F176" s="281" t="s">
        <v>358</v>
      </c>
      <c r="G176" s="301"/>
      <c r="H176" s="302"/>
      <c r="I176" s="303"/>
      <c r="J176" s="303"/>
      <c r="K176" s="251">
        <v>172.4</v>
      </c>
      <c r="L176" s="251">
        <v>114.9</v>
      </c>
      <c r="M176" s="251">
        <v>172.4</v>
      </c>
      <c r="N176" s="254">
        <v>250.4</v>
      </c>
    </row>
    <row r="177" spans="1:14" x14ac:dyDescent="0.2">
      <c r="A177" s="363" t="s">
        <v>230</v>
      </c>
      <c r="B177" s="358" t="s">
        <v>171</v>
      </c>
      <c r="C177" s="346" t="s">
        <v>138</v>
      </c>
      <c r="D177" s="346" t="s">
        <v>40</v>
      </c>
      <c r="E177" s="346"/>
      <c r="F177" s="346"/>
      <c r="G177" s="301"/>
      <c r="H177" s="302"/>
      <c r="I177" s="303"/>
      <c r="J177" s="303"/>
      <c r="K177" s="352" t="e">
        <f>#REF!+#REF!+K178</f>
        <v>#REF!</v>
      </c>
      <c r="L177" s="352" t="e">
        <f>#REF!+#REF!+L178</f>
        <v>#REF!</v>
      </c>
      <c r="M177" s="352" t="e">
        <f>#REF!+#REF!+M178</f>
        <v>#REF!</v>
      </c>
      <c r="N177" s="353">
        <f>N178</f>
        <v>997.8</v>
      </c>
    </row>
    <row r="178" spans="1:14" ht="48" x14ac:dyDescent="0.2">
      <c r="A178" s="357" t="s">
        <v>205</v>
      </c>
      <c r="B178" s="358" t="s">
        <v>605</v>
      </c>
      <c r="C178" s="346" t="s">
        <v>138</v>
      </c>
      <c r="D178" s="346" t="s">
        <v>40</v>
      </c>
      <c r="E178" s="346" t="s">
        <v>606</v>
      </c>
      <c r="F178" s="346"/>
      <c r="G178" s="301"/>
      <c r="H178" s="302"/>
      <c r="I178" s="303"/>
      <c r="J178" s="303"/>
      <c r="K178" s="405">
        <f>K180</f>
        <v>602.4</v>
      </c>
      <c r="L178" s="405">
        <f>L180</f>
        <v>229.4</v>
      </c>
      <c r="M178" s="405">
        <f>M180</f>
        <v>344.1</v>
      </c>
      <c r="N178" s="406">
        <f>N180</f>
        <v>997.8</v>
      </c>
    </row>
    <row r="179" spans="1:14" ht="21.75" customHeight="1" x14ac:dyDescent="0.2">
      <c r="A179" s="262" t="s">
        <v>207</v>
      </c>
      <c r="B179" s="292" t="s">
        <v>359</v>
      </c>
      <c r="C179" s="249" t="s">
        <v>138</v>
      </c>
      <c r="D179" s="249" t="s">
        <v>40</v>
      </c>
      <c r="E179" s="249" t="s">
        <v>606</v>
      </c>
      <c r="F179" s="249" t="s">
        <v>357</v>
      </c>
      <c r="G179" s="301"/>
      <c r="H179" s="302"/>
      <c r="I179" s="303"/>
      <c r="J179" s="303"/>
      <c r="K179" s="251">
        <v>602.4</v>
      </c>
      <c r="L179" s="251">
        <v>229.4</v>
      </c>
      <c r="M179" s="251">
        <v>344.1</v>
      </c>
      <c r="N179" s="254">
        <f>N180</f>
        <v>997.8</v>
      </c>
    </row>
    <row r="180" spans="1:14" ht="20.25" customHeight="1" thickBot="1" x14ac:dyDescent="0.25">
      <c r="A180" s="262" t="s">
        <v>373</v>
      </c>
      <c r="B180" s="292" t="s">
        <v>360</v>
      </c>
      <c r="C180" s="249" t="s">
        <v>138</v>
      </c>
      <c r="D180" s="249" t="s">
        <v>40</v>
      </c>
      <c r="E180" s="249" t="s">
        <v>606</v>
      </c>
      <c r="F180" s="249" t="s">
        <v>358</v>
      </c>
      <c r="G180" s="301"/>
      <c r="H180" s="302"/>
      <c r="I180" s="303"/>
      <c r="J180" s="303"/>
      <c r="K180" s="251">
        <v>602.4</v>
      </c>
      <c r="L180" s="251">
        <v>229.4</v>
      </c>
      <c r="M180" s="251">
        <v>344.1</v>
      </c>
      <c r="N180" s="254">
        <v>997.8</v>
      </c>
    </row>
    <row r="181" spans="1:14" ht="13.5" thickBot="1" x14ac:dyDescent="0.25">
      <c r="A181" s="375" t="s">
        <v>83</v>
      </c>
      <c r="B181" s="376" t="s">
        <v>170</v>
      </c>
      <c r="C181" s="377" t="s">
        <v>138</v>
      </c>
      <c r="D181" s="377" t="s">
        <v>185</v>
      </c>
      <c r="E181" s="377"/>
      <c r="F181" s="377"/>
      <c r="G181" s="301"/>
      <c r="H181" s="302"/>
      <c r="I181" s="303"/>
      <c r="J181" s="303"/>
      <c r="K181" s="378">
        <f t="shared" ref="K181:N182" si="20">K182</f>
        <v>653</v>
      </c>
      <c r="L181" s="378">
        <f t="shared" si="20"/>
        <v>424.3</v>
      </c>
      <c r="M181" s="378">
        <f t="shared" si="20"/>
        <v>653</v>
      </c>
      <c r="N181" s="379">
        <f t="shared" si="20"/>
        <v>327</v>
      </c>
    </row>
    <row r="182" spans="1:14" x14ac:dyDescent="0.2">
      <c r="A182" s="380" t="s">
        <v>225</v>
      </c>
      <c r="B182" s="381" t="s">
        <v>186</v>
      </c>
      <c r="C182" s="345" t="s">
        <v>138</v>
      </c>
      <c r="D182" s="345" t="s">
        <v>184</v>
      </c>
      <c r="E182" s="345"/>
      <c r="F182" s="345"/>
      <c r="G182" s="397"/>
      <c r="H182" s="398"/>
      <c r="I182" s="399"/>
      <c r="J182" s="399"/>
      <c r="K182" s="348">
        <f t="shared" si="20"/>
        <v>653</v>
      </c>
      <c r="L182" s="348">
        <f t="shared" si="20"/>
        <v>424.3</v>
      </c>
      <c r="M182" s="348">
        <f t="shared" si="20"/>
        <v>653</v>
      </c>
      <c r="N182" s="349">
        <f t="shared" si="20"/>
        <v>327</v>
      </c>
    </row>
    <row r="183" spans="1:14" ht="72" x14ac:dyDescent="0.2">
      <c r="A183" s="262" t="s">
        <v>191</v>
      </c>
      <c r="B183" s="396" t="s">
        <v>581</v>
      </c>
      <c r="C183" s="346" t="s">
        <v>138</v>
      </c>
      <c r="D183" s="346" t="s">
        <v>184</v>
      </c>
      <c r="E183" s="393" t="s">
        <v>580</v>
      </c>
      <c r="F183" s="346"/>
      <c r="G183" s="397"/>
      <c r="H183" s="398"/>
      <c r="I183" s="399"/>
      <c r="J183" s="399"/>
      <c r="K183" s="352">
        <f>K185</f>
        <v>653</v>
      </c>
      <c r="L183" s="352">
        <f>L185</f>
        <v>424.3</v>
      </c>
      <c r="M183" s="352">
        <f>M185</f>
        <v>653</v>
      </c>
      <c r="N183" s="353">
        <f>N185</f>
        <v>327</v>
      </c>
    </row>
    <row r="184" spans="1:14" ht="24.75" customHeight="1" x14ac:dyDescent="0.2">
      <c r="A184" s="305" t="s">
        <v>192</v>
      </c>
      <c r="B184" s="257" t="s">
        <v>349</v>
      </c>
      <c r="C184" s="282" t="s">
        <v>138</v>
      </c>
      <c r="D184" s="282" t="s">
        <v>184</v>
      </c>
      <c r="E184" s="282" t="s">
        <v>580</v>
      </c>
      <c r="F184" s="282" t="s">
        <v>348</v>
      </c>
      <c r="G184" s="301"/>
      <c r="H184" s="302"/>
      <c r="I184" s="303"/>
      <c r="J184" s="303"/>
      <c r="K184" s="298">
        <f>697-44</f>
        <v>653</v>
      </c>
      <c r="L184" s="298">
        <v>424.3</v>
      </c>
      <c r="M184" s="298">
        <v>653</v>
      </c>
      <c r="N184" s="299">
        <f>N185</f>
        <v>327</v>
      </c>
    </row>
    <row r="185" spans="1:14" ht="24.75" customHeight="1" thickBot="1" x14ac:dyDescent="0.25">
      <c r="A185" s="305" t="s">
        <v>374</v>
      </c>
      <c r="B185" s="248" t="s">
        <v>314</v>
      </c>
      <c r="C185" s="282" t="s">
        <v>138</v>
      </c>
      <c r="D185" s="282" t="s">
        <v>184</v>
      </c>
      <c r="E185" s="282" t="s">
        <v>580</v>
      </c>
      <c r="F185" s="282" t="s">
        <v>256</v>
      </c>
      <c r="G185" s="301"/>
      <c r="H185" s="302"/>
      <c r="I185" s="303"/>
      <c r="J185" s="303"/>
      <c r="K185" s="298">
        <f>697-44</f>
        <v>653</v>
      </c>
      <c r="L185" s="298">
        <v>424.3</v>
      </c>
      <c r="M185" s="298">
        <v>653</v>
      </c>
      <c r="N185" s="299">
        <v>327</v>
      </c>
    </row>
    <row r="186" spans="1:14" ht="13.5" thickBot="1" x14ac:dyDescent="0.25">
      <c r="A186" s="375" t="s">
        <v>226</v>
      </c>
      <c r="B186" s="376" t="s">
        <v>187</v>
      </c>
      <c r="C186" s="377" t="s">
        <v>138</v>
      </c>
      <c r="D186" s="377" t="s">
        <v>188</v>
      </c>
      <c r="E186" s="377"/>
      <c r="F186" s="377"/>
      <c r="G186" s="301"/>
      <c r="H186" s="302"/>
      <c r="I186" s="303"/>
      <c r="J186" s="303"/>
      <c r="K186" s="378">
        <f>K187</f>
        <v>766</v>
      </c>
      <c r="L186" s="378">
        <f>L187</f>
        <v>448.7</v>
      </c>
      <c r="M186" s="378">
        <f>M187</f>
        <v>766</v>
      </c>
      <c r="N186" s="379">
        <f>N187</f>
        <v>577.20000000000005</v>
      </c>
    </row>
    <row r="187" spans="1:14" x14ac:dyDescent="0.2">
      <c r="A187" s="380" t="s">
        <v>73</v>
      </c>
      <c r="B187" s="381" t="s">
        <v>190</v>
      </c>
      <c r="C187" s="345" t="s">
        <v>138</v>
      </c>
      <c r="D187" s="345" t="s">
        <v>189</v>
      </c>
      <c r="E187" s="345"/>
      <c r="F187" s="345"/>
      <c r="G187" s="397"/>
      <c r="H187" s="398"/>
      <c r="I187" s="399"/>
      <c r="J187" s="399"/>
      <c r="K187" s="348">
        <f>K188+K191</f>
        <v>766</v>
      </c>
      <c r="L187" s="348">
        <f>L188+L191</f>
        <v>448.7</v>
      </c>
      <c r="M187" s="348">
        <f>M188+M191</f>
        <v>766</v>
      </c>
      <c r="N187" s="349">
        <f>N188+N191</f>
        <v>577.20000000000005</v>
      </c>
    </row>
    <row r="188" spans="1:14" ht="24" x14ac:dyDescent="0.2">
      <c r="A188" s="363" t="s">
        <v>90</v>
      </c>
      <c r="B188" s="396" t="s">
        <v>584</v>
      </c>
      <c r="C188" s="346" t="s">
        <v>138</v>
      </c>
      <c r="D188" s="346" t="s">
        <v>189</v>
      </c>
      <c r="E188" s="346" t="s">
        <v>582</v>
      </c>
      <c r="F188" s="346"/>
      <c r="G188" s="397"/>
      <c r="H188" s="398"/>
      <c r="I188" s="399"/>
      <c r="J188" s="399"/>
      <c r="K188" s="352">
        <f>K190</f>
        <v>653.9</v>
      </c>
      <c r="L188" s="352">
        <f>L190</f>
        <v>388.9</v>
      </c>
      <c r="M188" s="352">
        <f>M190</f>
        <v>653.9</v>
      </c>
      <c r="N188" s="353">
        <f>N190</f>
        <v>577.20000000000005</v>
      </c>
    </row>
    <row r="189" spans="1:14" ht="27" customHeight="1" x14ac:dyDescent="0.2">
      <c r="A189" s="262" t="s">
        <v>227</v>
      </c>
      <c r="B189" s="257" t="s">
        <v>349</v>
      </c>
      <c r="C189" s="249" t="s">
        <v>138</v>
      </c>
      <c r="D189" s="249" t="s">
        <v>189</v>
      </c>
      <c r="E189" s="249" t="s">
        <v>582</v>
      </c>
      <c r="F189" s="282" t="s">
        <v>348</v>
      </c>
      <c r="G189" s="301"/>
      <c r="H189" s="302"/>
      <c r="I189" s="303"/>
      <c r="J189" s="303"/>
      <c r="K189" s="251">
        <v>653.9</v>
      </c>
      <c r="L189" s="251">
        <v>388.9</v>
      </c>
      <c r="M189" s="251">
        <v>653.9</v>
      </c>
      <c r="N189" s="254">
        <f>N190</f>
        <v>577.20000000000005</v>
      </c>
    </row>
    <row r="190" spans="1:14" ht="29.25" customHeight="1" thickBot="1" x14ac:dyDescent="0.25">
      <c r="A190" s="262" t="s">
        <v>375</v>
      </c>
      <c r="B190" s="248" t="s">
        <v>314</v>
      </c>
      <c r="C190" s="249" t="s">
        <v>138</v>
      </c>
      <c r="D190" s="249" t="s">
        <v>189</v>
      </c>
      <c r="E190" s="249" t="s">
        <v>582</v>
      </c>
      <c r="F190" s="282" t="s">
        <v>256</v>
      </c>
      <c r="G190" s="301"/>
      <c r="H190" s="302"/>
      <c r="I190" s="303"/>
      <c r="J190" s="303"/>
      <c r="K190" s="251">
        <v>653.9</v>
      </c>
      <c r="L190" s="251">
        <v>388.9</v>
      </c>
      <c r="M190" s="251">
        <v>653.9</v>
      </c>
      <c r="N190" s="254">
        <f>364.2+3+210</f>
        <v>577.20000000000005</v>
      </c>
    </row>
    <row r="191" spans="1:14" ht="24" hidden="1" x14ac:dyDescent="0.2">
      <c r="A191" s="363" t="s">
        <v>277</v>
      </c>
      <c r="B191" s="401" t="s">
        <v>278</v>
      </c>
      <c r="C191" s="346" t="s">
        <v>138</v>
      </c>
      <c r="D191" s="346" t="s">
        <v>189</v>
      </c>
      <c r="E191" s="346" t="s">
        <v>583</v>
      </c>
      <c r="F191" s="346"/>
      <c r="G191" s="397"/>
      <c r="H191" s="398"/>
      <c r="I191" s="399"/>
      <c r="J191" s="399"/>
      <c r="K191" s="402">
        <f>K193</f>
        <v>112.1</v>
      </c>
      <c r="L191" s="402">
        <f>L193</f>
        <v>59.8</v>
      </c>
      <c r="M191" s="402">
        <f>M193</f>
        <v>112.1</v>
      </c>
      <c r="N191" s="403">
        <f>N193</f>
        <v>0</v>
      </c>
    </row>
    <row r="192" spans="1:14" ht="36" hidden="1" customHeight="1" x14ac:dyDescent="0.2">
      <c r="A192" s="305" t="s">
        <v>317</v>
      </c>
      <c r="B192" s="257" t="s">
        <v>349</v>
      </c>
      <c r="C192" s="282" t="s">
        <v>138</v>
      </c>
      <c r="D192" s="282" t="s">
        <v>189</v>
      </c>
      <c r="E192" s="249" t="s">
        <v>583</v>
      </c>
      <c r="F192" s="282" t="s">
        <v>348</v>
      </c>
      <c r="G192" s="301"/>
      <c r="H192" s="302"/>
      <c r="I192" s="303"/>
      <c r="J192" s="303"/>
      <c r="K192" s="298">
        <v>112.1</v>
      </c>
      <c r="L192" s="298">
        <v>59.8</v>
      </c>
      <c r="M192" s="298">
        <v>112.1</v>
      </c>
      <c r="N192" s="299">
        <f>N193</f>
        <v>0</v>
      </c>
    </row>
    <row r="193" spans="1:14" ht="28.5" hidden="1" customHeight="1" thickBot="1" x14ac:dyDescent="0.25">
      <c r="A193" s="305" t="s">
        <v>376</v>
      </c>
      <c r="B193" s="248" t="s">
        <v>314</v>
      </c>
      <c r="C193" s="282" t="s">
        <v>138</v>
      </c>
      <c r="D193" s="282" t="s">
        <v>189</v>
      </c>
      <c r="E193" s="249" t="s">
        <v>583</v>
      </c>
      <c r="F193" s="282" t="s">
        <v>256</v>
      </c>
      <c r="G193" s="301"/>
      <c r="H193" s="302"/>
      <c r="I193" s="303"/>
      <c r="J193" s="303"/>
      <c r="K193" s="298">
        <v>112.1</v>
      </c>
      <c r="L193" s="298">
        <v>59.8</v>
      </c>
      <c r="M193" s="298">
        <v>112.1</v>
      </c>
      <c r="N193" s="299">
        <v>0</v>
      </c>
    </row>
    <row r="194" spans="1:14" ht="15" thickBot="1" x14ac:dyDescent="0.25">
      <c r="A194" s="407"/>
      <c r="B194" s="408" t="s">
        <v>36</v>
      </c>
      <c r="C194" s="408"/>
      <c r="D194" s="409"/>
      <c r="E194" s="409"/>
      <c r="F194" s="409"/>
      <c r="G194" s="307"/>
      <c r="H194" s="308"/>
      <c r="I194" s="309"/>
      <c r="J194" s="309"/>
      <c r="K194" s="410" t="e">
        <f>K9+K34</f>
        <v>#REF!</v>
      </c>
      <c r="L194" s="410" t="e">
        <f>L9+L34</f>
        <v>#REF!</v>
      </c>
      <c r="M194" s="410" t="e">
        <f>M9+M34</f>
        <v>#REF!</v>
      </c>
      <c r="N194" s="411">
        <f>N9+N34</f>
        <v>106364</v>
      </c>
    </row>
    <row r="196" spans="1:14" x14ac:dyDescent="0.2">
      <c r="N196" s="320"/>
    </row>
    <row r="197" spans="1:14" x14ac:dyDescent="0.2">
      <c r="N197" s="108"/>
    </row>
    <row r="199" spans="1:14" x14ac:dyDescent="0.2">
      <c r="N199" s="116"/>
    </row>
  </sheetData>
  <mergeCells count="4">
    <mergeCell ref="A5:H5"/>
    <mergeCell ref="I5:K5"/>
    <mergeCell ref="A6:H6"/>
    <mergeCell ref="F4:N4"/>
  </mergeCells>
  <pageMargins left="0.70866141732283472" right="0.70866141732283472" top="0.74803149606299213" bottom="0.74803149606299213" header="0.31496062992125984" footer="0.31496062992125984"/>
  <pageSetup paperSize="9" scale="75" fitToHeight="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opLeftCell="A16" workbookViewId="0">
      <selection activeCell="C19" sqref="C19"/>
    </sheetView>
  </sheetViews>
  <sheetFormatPr defaultRowHeight="12.75" x14ac:dyDescent="0.2"/>
  <cols>
    <col min="1" max="1" width="37.7109375" customWidth="1"/>
    <col min="2" max="2" width="46.85546875" customWidth="1"/>
    <col min="3" max="3" width="21.42578125" customWidth="1"/>
  </cols>
  <sheetData>
    <row r="1" spans="1:10" ht="25.5" x14ac:dyDescent="0.2">
      <c r="A1" s="310" t="s">
        <v>214</v>
      </c>
      <c r="B1" s="311"/>
      <c r="C1" s="312" t="s">
        <v>629</v>
      </c>
    </row>
    <row r="2" spans="1:10" ht="12.75" customHeight="1" x14ac:dyDescent="0.2">
      <c r="A2" s="453"/>
      <c r="B2" s="453"/>
      <c r="C2" s="461" t="s">
        <v>610</v>
      </c>
    </row>
    <row r="3" spans="1:10" x14ac:dyDescent="0.2">
      <c r="A3" s="117"/>
      <c r="B3" s="117"/>
      <c r="C3" s="236" t="s">
        <v>631</v>
      </c>
      <c r="D3" s="117"/>
      <c r="E3" s="117"/>
      <c r="F3" s="117"/>
      <c r="G3" s="117"/>
      <c r="H3" s="117"/>
      <c r="I3" s="117"/>
      <c r="J3" s="117"/>
    </row>
    <row r="4" spans="1:10" s="115" customFormat="1" x14ac:dyDescent="0.2">
      <c r="A4" s="429"/>
      <c r="B4" s="533"/>
      <c r="C4" s="533"/>
      <c r="D4" s="117"/>
      <c r="E4" s="117"/>
      <c r="F4" s="117"/>
      <c r="G4" s="117"/>
      <c r="H4" s="117"/>
      <c r="I4" s="117"/>
      <c r="J4" s="117"/>
    </row>
    <row r="5" spans="1:10" ht="15.75" x14ac:dyDescent="0.25">
      <c r="A5" s="538" t="s">
        <v>649</v>
      </c>
      <c r="B5" s="538"/>
      <c r="C5" s="538"/>
    </row>
    <row r="6" spans="1:10" ht="15.75" x14ac:dyDescent="0.25">
      <c r="A6" s="538" t="s">
        <v>390</v>
      </c>
      <c r="B6" s="538"/>
      <c r="C6" s="538"/>
    </row>
    <row r="7" spans="1:10" ht="15.75" x14ac:dyDescent="0.25">
      <c r="A7" s="538" t="s">
        <v>632</v>
      </c>
      <c r="B7" s="538"/>
      <c r="C7" s="538"/>
    </row>
    <row r="8" spans="1:10" ht="15" x14ac:dyDescent="0.2">
      <c r="A8" s="539" t="s">
        <v>391</v>
      </c>
      <c r="B8" s="539"/>
      <c r="C8" s="539"/>
    </row>
    <row r="9" spans="1:10" ht="14.25" x14ac:dyDescent="0.2">
      <c r="A9" s="313" t="s">
        <v>392</v>
      </c>
      <c r="B9" s="313" t="s">
        <v>393</v>
      </c>
      <c r="C9" s="313" t="s">
        <v>394</v>
      </c>
    </row>
    <row r="10" spans="1:10" ht="14.25" x14ac:dyDescent="0.2">
      <c r="A10" s="536" t="s">
        <v>395</v>
      </c>
      <c r="B10" s="536"/>
      <c r="C10" s="313"/>
    </row>
    <row r="11" spans="1:10" ht="45" customHeight="1" x14ac:dyDescent="0.2">
      <c r="A11" s="314" t="s">
        <v>396</v>
      </c>
      <c r="B11" s="314" t="s">
        <v>397</v>
      </c>
      <c r="C11" s="315">
        <f>C16-C12</f>
        <v>2006.7999999999884</v>
      </c>
    </row>
    <row r="12" spans="1:10" ht="45" customHeight="1" x14ac:dyDescent="0.2">
      <c r="A12" s="314" t="s">
        <v>398</v>
      </c>
      <c r="B12" s="314" t="s">
        <v>399</v>
      </c>
      <c r="C12" s="316">
        <f>C13</f>
        <v>104357.20000000001</v>
      </c>
    </row>
    <row r="13" spans="1:10" ht="45" customHeight="1" x14ac:dyDescent="0.2">
      <c r="A13" s="317" t="s">
        <v>400</v>
      </c>
      <c r="B13" s="317" t="s">
        <v>401</v>
      </c>
      <c r="C13" s="318">
        <f>C14</f>
        <v>104357.20000000001</v>
      </c>
    </row>
    <row r="14" spans="1:10" ht="45" customHeight="1" x14ac:dyDescent="0.2">
      <c r="A14" s="317" t="s">
        <v>402</v>
      </c>
      <c r="B14" s="317" t="s">
        <v>403</v>
      </c>
      <c r="C14" s="318">
        <f>C15</f>
        <v>104357.20000000001</v>
      </c>
    </row>
    <row r="15" spans="1:10" ht="58.5" customHeight="1" x14ac:dyDescent="0.2">
      <c r="A15" s="317" t="s">
        <v>404</v>
      </c>
      <c r="B15" s="424" t="s">
        <v>598</v>
      </c>
      <c r="C15" s="318">
        <f>'доходы 2018'!J65</f>
        <v>104357.20000000001</v>
      </c>
    </row>
    <row r="16" spans="1:10" ht="45" customHeight="1" x14ac:dyDescent="0.2">
      <c r="A16" s="314" t="s">
        <v>405</v>
      </c>
      <c r="B16" s="314" t="s">
        <v>406</v>
      </c>
      <c r="C16" s="316">
        <f>C17</f>
        <v>106364</v>
      </c>
    </row>
    <row r="17" spans="1:3" ht="45" customHeight="1" x14ac:dyDescent="0.2">
      <c r="A17" s="317" t="s">
        <v>407</v>
      </c>
      <c r="B17" s="317" t="s">
        <v>408</v>
      </c>
      <c r="C17" s="318">
        <f>C18</f>
        <v>106364</v>
      </c>
    </row>
    <row r="18" spans="1:3" ht="45" customHeight="1" x14ac:dyDescent="0.2">
      <c r="A18" s="317" t="s">
        <v>409</v>
      </c>
      <c r="B18" s="317" t="s">
        <v>410</v>
      </c>
      <c r="C18" s="318">
        <f>C19</f>
        <v>106364</v>
      </c>
    </row>
    <row r="19" spans="1:3" ht="63.75" customHeight="1" x14ac:dyDescent="0.2">
      <c r="A19" s="317" t="s">
        <v>411</v>
      </c>
      <c r="B19" s="424" t="s">
        <v>599</v>
      </c>
      <c r="C19" s="318">
        <f>'Вед. 2017 (прил 4)'!N194</f>
        <v>106364</v>
      </c>
    </row>
    <row r="20" spans="1:3" ht="14.25" x14ac:dyDescent="0.2">
      <c r="A20" s="537" t="s">
        <v>412</v>
      </c>
      <c r="B20" s="537"/>
      <c r="C20" s="316">
        <f>C16-C12</f>
        <v>2006.7999999999884</v>
      </c>
    </row>
    <row r="21" spans="1:3" ht="14.25" x14ac:dyDescent="0.2">
      <c r="A21" s="537" t="s">
        <v>413</v>
      </c>
      <c r="B21" s="537"/>
      <c r="C21" s="316">
        <f>C20</f>
        <v>2006.7999999999884</v>
      </c>
    </row>
  </sheetData>
  <mergeCells count="8">
    <mergeCell ref="B4:C4"/>
    <mergeCell ref="A10:B10"/>
    <mergeCell ref="A20:B20"/>
    <mergeCell ref="A21:B21"/>
    <mergeCell ref="A7:C7"/>
    <mergeCell ref="A5:C5"/>
    <mergeCell ref="A6:C6"/>
    <mergeCell ref="A8:C8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4" workbookViewId="0">
      <selection activeCell="A11" sqref="A11:D11"/>
    </sheetView>
  </sheetViews>
  <sheetFormatPr defaultRowHeight="12.75" x14ac:dyDescent="0.2"/>
  <cols>
    <col min="1" max="1" width="17" style="115" customWidth="1"/>
    <col min="2" max="2" width="27.28515625" style="115" customWidth="1"/>
    <col min="3" max="3" width="42.42578125" style="115" customWidth="1"/>
  </cols>
  <sheetData>
    <row r="1" spans="1:7" s="115" customFormat="1" ht="15.75" x14ac:dyDescent="0.2">
      <c r="A1" s="541" t="s">
        <v>214</v>
      </c>
      <c r="B1" s="541"/>
      <c r="C1" s="541"/>
    </row>
    <row r="2" spans="1:7" s="115" customFormat="1" ht="15.75" x14ac:dyDescent="0.25">
      <c r="C2" s="482" t="s">
        <v>611</v>
      </c>
      <c r="D2" s="452"/>
    </row>
    <row r="3" spans="1:7" s="115" customFormat="1" ht="25.5" customHeight="1" x14ac:dyDescent="0.2">
      <c r="A3" s="453"/>
      <c r="B3" s="453"/>
      <c r="C3" s="461" t="s">
        <v>610</v>
      </c>
      <c r="D3" s="453"/>
    </row>
    <row r="4" spans="1:7" s="115" customFormat="1" ht="12.75" customHeight="1" x14ac:dyDescent="0.2">
      <c r="A4" s="453"/>
      <c r="B4" s="453"/>
      <c r="C4" s="123"/>
      <c r="D4" s="454"/>
    </row>
    <row r="5" spans="1:7" s="115" customFormat="1" ht="25.5" customHeight="1" x14ac:dyDescent="0.2">
      <c r="A5" s="481"/>
      <c r="B5" s="481"/>
      <c r="C5" s="236" t="s">
        <v>631</v>
      </c>
      <c r="D5" s="455"/>
    </row>
    <row r="6" spans="1:7" s="115" customFormat="1" ht="25.5" customHeight="1" x14ac:dyDescent="0.2">
      <c r="A6" s="430"/>
      <c r="B6" s="430"/>
      <c r="C6" s="430"/>
      <c r="D6" s="430"/>
    </row>
    <row r="7" spans="1:7" s="115" customFormat="1" ht="15.75" x14ac:dyDescent="0.25">
      <c r="A7" s="538" t="s">
        <v>493</v>
      </c>
      <c r="B7" s="538"/>
      <c r="C7" s="538"/>
      <c r="D7" s="452"/>
    </row>
    <row r="8" spans="1:7" s="115" customFormat="1" ht="15.75" x14ac:dyDescent="0.25">
      <c r="A8" s="538" t="s">
        <v>494</v>
      </c>
      <c r="B8" s="538"/>
      <c r="C8" s="538"/>
      <c r="D8" s="452"/>
      <c r="G8" s="451"/>
    </row>
    <row r="9" spans="1:7" s="115" customFormat="1" ht="15.75" x14ac:dyDescent="0.25">
      <c r="A9" s="538" t="s">
        <v>390</v>
      </c>
      <c r="B9" s="538"/>
      <c r="C9" s="538"/>
      <c r="D9" s="452"/>
    </row>
    <row r="10" spans="1:7" s="115" customFormat="1" ht="15.75" x14ac:dyDescent="0.25">
      <c r="A10" s="538" t="s">
        <v>632</v>
      </c>
      <c r="B10" s="538"/>
      <c r="C10" s="538"/>
      <c r="D10" s="452"/>
    </row>
    <row r="11" spans="1:7" s="115" customFormat="1" ht="15" x14ac:dyDescent="0.2">
      <c r="A11" s="539"/>
      <c r="B11" s="539"/>
      <c r="C11" s="539"/>
      <c r="D11" s="539"/>
    </row>
    <row r="12" spans="1:7" s="115" customFormat="1" ht="57" customHeight="1" x14ac:dyDescent="0.2">
      <c r="A12" s="544" t="s">
        <v>488</v>
      </c>
      <c r="B12" s="544"/>
      <c r="C12" s="544" t="s">
        <v>393</v>
      </c>
      <c r="D12" s="330"/>
    </row>
    <row r="13" spans="1:7" s="115" customFormat="1" ht="62.25" customHeight="1" x14ac:dyDescent="0.2">
      <c r="A13" s="327" t="s">
        <v>489</v>
      </c>
      <c r="B13" s="327" t="s">
        <v>490</v>
      </c>
      <c r="C13" s="544"/>
      <c r="D13" s="330"/>
    </row>
    <row r="14" spans="1:7" s="115" customFormat="1" ht="15.75" x14ac:dyDescent="0.2">
      <c r="A14" s="327">
        <v>1</v>
      </c>
      <c r="B14" s="327">
        <v>2</v>
      </c>
      <c r="C14" s="328">
        <v>3</v>
      </c>
      <c r="D14" s="330"/>
    </row>
    <row r="15" spans="1:7" s="115" customFormat="1" ht="44.25" customHeight="1" x14ac:dyDescent="0.2">
      <c r="A15" s="542">
        <v>993</v>
      </c>
      <c r="B15" s="542" t="s">
        <v>491</v>
      </c>
      <c r="C15" s="543" t="s">
        <v>615</v>
      </c>
      <c r="D15" s="540"/>
    </row>
    <row r="16" spans="1:7" s="115" customFormat="1" ht="37.5" customHeight="1" x14ac:dyDescent="0.2">
      <c r="A16" s="542"/>
      <c r="B16" s="542"/>
      <c r="C16" s="543"/>
      <c r="D16" s="540"/>
    </row>
    <row r="17" spans="1:4" s="115" customFormat="1" ht="69.75" customHeight="1" x14ac:dyDescent="0.2">
      <c r="A17" s="542">
        <v>993</v>
      </c>
      <c r="B17" s="542" t="s">
        <v>492</v>
      </c>
      <c r="C17" s="543" t="s">
        <v>616</v>
      </c>
      <c r="D17" s="540"/>
    </row>
    <row r="18" spans="1:4" s="115" customFormat="1" ht="37.5" customHeight="1" x14ac:dyDescent="0.2">
      <c r="A18" s="542"/>
      <c r="B18" s="542"/>
      <c r="C18" s="543"/>
      <c r="D18" s="540"/>
    </row>
    <row r="19" spans="1:4" ht="15" x14ac:dyDescent="0.2">
      <c r="A19" s="329"/>
    </row>
  </sheetData>
  <mergeCells count="16">
    <mergeCell ref="D17:D18"/>
    <mergeCell ref="A17:A18"/>
    <mergeCell ref="B17:B18"/>
    <mergeCell ref="C17:C18"/>
    <mergeCell ref="A12:B12"/>
    <mergeCell ref="C12:C13"/>
    <mergeCell ref="A15:A16"/>
    <mergeCell ref="B15:B16"/>
    <mergeCell ref="C15:C16"/>
    <mergeCell ref="A11:D11"/>
    <mergeCell ref="D15:D16"/>
    <mergeCell ref="A1:C1"/>
    <mergeCell ref="A7:C7"/>
    <mergeCell ref="A8:C8"/>
    <mergeCell ref="A9:C9"/>
    <mergeCell ref="A10:C1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workbookViewId="0">
      <selection activeCell="C2" sqref="C2"/>
    </sheetView>
  </sheetViews>
  <sheetFormatPr defaultRowHeight="12.75" x14ac:dyDescent="0.2"/>
  <cols>
    <col min="1" max="1" width="9.140625" customWidth="1"/>
    <col min="2" max="2" width="28.85546875" customWidth="1"/>
    <col min="3" max="3" width="66.140625" customWidth="1"/>
  </cols>
  <sheetData>
    <row r="1" spans="1:3" s="115" customFormat="1" ht="15" x14ac:dyDescent="0.2">
      <c r="A1" s="545"/>
      <c r="B1" s="545"/>
      <c r="C1" s="331" t="s">
        <v>645</v>
      </c>
    </row>
    <row r="2" spans="1:3" s="115" customFormat="1" ht="15" x14ac:dyDescent="0.2">
      <c r="A2" s="332"/>
      <c r="B2" s="333"/>
      <c r="C2" s="461" t="s">
        <v>610</v>
      </c>
    </row>
    <row r="3" spans="1:3" s="115" customFormat="1" ht="30" customHeight="1" x14ac:dyDescent="0.2">
      <c r="A3" s="334"/>
      <c r="B3" s="334"/>
      <c r="C3" s="486" t="s">
        <v>631</v>
      </c>
    </row>
    <row r="4" spans="1:3" s="115" customFormat="1" ht="24" customHeight="1" x14ac:dyDescent="0.2">
      <c r="A4" s="546" t="s">
        <v>495</v>
      </c>
      <c r="B4" s="546"/>
      <c r="C4" s="546"/>
    </row>
    <row r="5" spans="1:3" s="115" customFormat="1" ht="14.25" x14ac:dyDescent="0.2">
      <c r="A5" s="335" t="s">
        <v>496</v>
      </c>
      <c r="B5" s="335" t="s">
        <v>497</v>
      </c>
      <c r="C5" s="335" t="s">
        <v>498</v>
      </c>
    </row>
    <row r="6" spans="1:3" ht="25.5" x14ac:dyDescent="0.2">
      <c r="A6" s="483">
        <v>1</v>
      </c>
      <c r="B6" s="148" t="s">
        <v>194</v>
      </c>
      <c r="C6" s="149" t="s">
        <v>143</v>
      </c>
    </row>
    <row r="7" spans="1:3" s="115" customFormat="1" ht="25.5" x14ac:dyDescent="0.2">
      <c r="A7" s="483">
        <v>2</v>
      </c>
      <c r="B7" s="148" t="s">
        <v>197</v>
      </c>
      <c r="C7" s="149" t="s">
        <v>144</v>
      </c>
    </row>
    <row r="8" spans="1:3" s="115" customFormat="1" ht="38.25" x14ac:dyDescent="0.2">
      <c r="A8" s="483">
        <v>3</v>
      </c>
      <c r="B8" s="148" t="s">
        <v>198</v>
      </c>
      <c r="C8" s="149" t="s">
        <v>199</v>
      </c>
    </row>
    <row r="9" spans="1:3" s="115" customFormat="1" ht="25.5" x14ac:dyDescent="0.2">
      <c r="A9" s="483">
        <v>4</v>
      </c>
      <c r="B9" s="148" t="s">
        <v>240</v>
      </c>
      <c r="C9" s="149" t="s">
        <v>617</v>
      </c>
    </row>
    <row r="10" spans="1:3" s="115" customFormat="1" x14ac:dyDescent="0.2">
      <c r="A10" s="483">
        <v>5</v>
      </c>
      <c r="B10" s="148" t="s">
        <v>200</v>
      </c>
      <c r="C10" s="149" t="s">
        <v>530</v>
      </c>
    </row>
    <row r="11" spans="1:3" s="115" customFormat="1" ht="25.5" x14ac:dyDescent="0.2">
      <c r="A11" s="483">
        <v>6</v>
      </c>
      <c r="B11" s="148" t="s">
        <v>426</v>
      </c>
      <c r="C11" s="149" t="s">
        <v>427</v>
      </c>
    </row>
    <row r="12" spans="1:3" s="115" customFormat="1" ht="38.25" x14ac:dyDescent="0.2">
      <c r="A12" s="483">
        <v>7</v>
      </c>
      <c r="B12" s="166" t="s">
        <v>233</v>
      </c>
      <c r="C12" s="149" t="s">
        <v>59</v>
      </c>
    </row>
    <row r="13" spans="1:3" s="115" customFormat="1" ht="38.25" x14ac:dyDescent="0.2">
      <c r="A13" s="483">
        <v>8</v>
      </c>
      <c r="B13" s="148" t="s">
        <v>608</v>
      </c>
      <c r="C13" s="189" t="s">
        <v>202</v>
      </c>
    </row>
    <row r="14" spans="1:3" s="115" customFormat="1" ht="38.25" x14ac:dyDescent="0.2">
      <c r="A14" s="483">
        <v>9</v>
      </c>
      <c r="B14" s="148" t="s">
        <v>609</v>
      </c>
      <c r="C14" s="189" t="s">
        <v>202</v>
      </c>
    </row>
    <row r="15" spans="1:3" s="115" customFormat="1" ht="51" x14ac:dyDescent="0.2">
      <c r="A15" s="483">
        <v>10</v>
      </c>
      <c r="B15" s="166" t="s">
        <v>614</v>
      </c>
      <c r="C15" s="183" t="s">
        <v>150</v>
      </c>
    </row>
    <row r="16" spans="1:3" s="115" customFormat="1" ht="63" customHeight="1" x14ac:dyDescent="0.2">
      <c r="A16" s="483">
        <v>11</v>
      </c>
      <c r="B16" s="456" t="s">
        <v>286</v>
      </c>
      <c r="C16" s="336" t="s">
        <v>505</v>
      </c>
    </row>
    <row r="17" spans="1:3" s="115" customFormat="1" ht="33.75" customHeight="1" x14ac:dyDescent="0.2">
      <c r="A17" s="483">
        <v>12</v>
      </c>
      <c r="B17" s="456" t="s">
        <v>499</v>
      </c>
      <c r="C17" s="336" t="s">
        <v>506</v>
      </c>
    </row>
    <row r="18" spans="1:3" s="115" customFormat="1" ht="33" customHeight="1" x14ac:dyDescent="0.2">
      <c r="A18" s="483">
        <v>13</v>
      </c>
      <c r="B18" s="456" t="s">
        <v>500</v>
      </c>
      <c r="C18" s="336" t="s">
        <v>507</v>
      </c>
    </row>
    <row r="19" spans="1:3" s="115" customFormat="1" ht="23.25" customHeight="1" x14ac:dyDescent="0.2">
      <c r="A19" s="483">
        <v>14</v>
      </c>
      <c r="B19" s="456" t="s">
        <v>501</v>
      </c>
      <c r="C19" s="336" t="s">
        <v>502</v>
      </c>
    </row>
    <row r="20" spans="1:3" s="115" customFormat="1" ht="45" customHeight="1" x14ac:dyDescent="0.2">
      <c r="A20" s="483">
        <v>15</v>
      </c>
      <c r="B20" s="484" t="s">
        <v>623</v>
      </c>
      <c r="C20" s="336" t="s">
        <v>508</v>
      </c>
    </row>
    <row r="21" spans="1:3" s="115" customFormat="1" ht="35.25" customHeight="1" x14ac:dyDescent="0.2">
      <c r="A21" s="483">
        <v>16</v>
      </c>
      <c r="B21" s="456" t="s">
        <v>624</v>
      </c>
      <c r="C21" s="336" t="s">
        <v>509</v>
      </c>
    </row>
    <row r="22" spans="1:3" s="115" customFormat="1" ht="60" x14ac:dyDescent="0.2">
      <c r="A22" s="483">
        <v>17</v>
      </c>
      <c r="B22" s="457" t="s">
        <v>132</v>
      </c>
      <c r="C22" s="336" t="s">
        <v>289</v>
      </c>
    </row>
    <row r="23" spans="1:3" s="115" customFormat="1" ht="90" x14ac:dyDescent="0.2">
      <c r="A23" s="483">
        <v>18</v>
      </c>
      <c r="B23" s="485" t="s">
        <v>626</v>
      </c>
      <c r="C23" s="336" t="s">
        <v>291</v>
      </c>
    </row>
    <row r="24" spans="1:3" s="115" customFormat="1" ht="46.5" customHeight="1" x14ac:dyDescent="0.2">
      <c r="A24" s="483">
        <v>19</v>
      </c>
      <c r="B24" s="485" t="s">
        <v>621</v>
      </c>
      <c r="C24" s="336" t="s">
        <v>293</v>
      </c>
    </row>
    <row r="25" spans="1:3" s="115" customFormat="1" ht="47.25" customHeight="1" x14ac:dyDescent="0.2">
      <c r="A25" s="483">
        <v>20</v>
      </c>
      <c r="B25" s="484" t="s">
        <v>625</v>
      </c>
      <c r="C25" s="336" t="s">
        <v>503</v>
      </c>
    </row>
    <row r="26" spans="1:3" s="115" customFormat="1" ht="107.25" customHeight="1" x14ac:dyDescent="0.2">
      <c r="A26" s="483">
        <v>21</v>
      </c>
      <c r="B26" s="457" t="s">
        <v>504</v>
      </c>
      <c r="C26" s="336" t="s">
        <v>510</v>
      </c>
    </row>
  </sheetData>
  <mergeCells count="2">
    <mergeCell ref="A1:B1"/>
    <mergeCell ref="A4:C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1Р.</vt:lpstr>
      <vt:lpstr>доходы 2016</vt:lpstr>
      <vt:lpstr>доходы 2018</vt:lpstr>
      <vt:lpstr>Прилож 2</vt:lpstr>
      <vt:lpstr>Функц.2017 (прил 3) </vt:lpstr>
      <vt:lpstr>Вед. 2017 (прил 4)</vt:lpstr>
      <vt:lpstr>Прилож 5</vt:lpstr>
      <vt:lpstr>Прилож 6</vt:lpstr>
      <vt:lpstr>Прилож 7</vt:lpstr>
      <vt:lpstr>'доходы 2016'!Заголовки_для_печати</vt:lpstr>
      <vt:lpstr>'доходы 2018'!Заголовки_для_печати</vt:lpstr>
      <vt:lpstr>'1Р.'!Область_печати</vt:lpstr>
    </vt:vector>
  </TitlesOfParts>
  <Company>QuasaR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Шманцарь</dc:creator>
  <cp:lastModifiedBy>Влад</cp:lastModifiedBy>
  <cp:lastPrinted>2017-12-11T12:30:29Z</cp:lastPrinted>
  <dcterms:created xsi:type="dcterms:W3CDTF">1999-12-27T10:35:15Z</dcterms:created>
  <dcterms:modified xsi:type="dcterms:W3CDTF">2017-12-11T12:55:47Z</dcterms:modified>
</cp:coreProperties>
</file>