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0\целевые_программ\1 Владислав\СОВЕТ 2017\Совет 04.05.2017\Решения\"/>
    </mc:Choice>
  </mc:AlternateContent>
  <bookViews>
    <workbookView xWindow="0" yWindow="0" windowWidth="20490" windowHeight="7755" tabRatio="865" firstSheet="2" activeTab="5"/>
  </bookViews>
  <sheets>
    <sheet name="1Р." sheetId="59" state="hidden" r:id="rId1"/>
    <sheet name="доходы 2016" sheetId="75" state="hidden" r:id="rId2"/>
    <sheet name="Прилож 5 12.07" sheetId="121" r:id="rId3"/>
    <sheet name="доходы 15.11.16" sheetId="125" r:id="rId4"/>
    <sheet name="прил 3 функ 15.12" sheetId="130" r:id="rId5"/>
    <sheet name="прил 4 вед 15.12" sheetId="131" r:id="rId6"/>
    <sheet name="Лист4" sheetId="132" r:id="rId7"/>
    <sheet name="Лист5" sheetId="133" r:id="rId8"/>
  </sheets>
  <externalReferences>
    <externalReference r:id="rId9"/>
  </externalReferences>
  <definedNames>
    <definedName name="_xlnm.Print_Titles" localSheetId="3">'доходы 15.11.16'!#REF!</definedName>
    <definedName name="_xlnm.Print_Titles" localSheetId="1">'доходы 2016'!$8:$8</definedName>
    <definedName name="_xlnm.Print_Area" localSheetId="0">'1Р.'!$A$1:$H$65</definedName>
  </definedNames>
  <calcPr calcId="152511"/>
</workbook>
</file>

<file path=xl/calcChain.xml><?xml version="1.0" encoding="utf-8"?>
<calcChain xmlns="http://schemas.openxmlformats.org/spreadsheetml/2006/main">
  <c r="D10" i="121" l="1"/>
  <c r="C13" i="121"/>
  <c r="E12" i="121" l="1"/>
  <c r="E11" i="121"/>
  <c r="D13" i="121"/>
  <c r="C14" i="121"/>
  <c r="D14" i="121" l="1"/>
  <c r="G21" i="130"/>
  <c r="G22" i="130"/>
  <c r="G26" i="130"/>
  <c r="G28" i="130"/>
  <c r="G61" i="130"/>
  <c r="G89" i="130"/>
  <c r="G105" i="130"/>
  <c r="G112" i="130"/>
  <c r="G117" i="130"/>
  <c r="G126" i="130"/>
  <c r="G169" i="130"/>
  <c r="G191" i="130"/>
  <c r="G193" i="130"/>
  <c r="I20" i="131"/>
  <c r="I22" i="131"/>
  <c r="I23" i="131"/>
  <c r="I24" i="131"/>
  <c r="I28" i="131"/>
  <c r="I30" i="131"/>
  <c r="I32" i="131"/>
  <c r="I35" i="131"/>
  <c r="I52" i="131"/>
  <c r="I56" i="131"/>
  <c r="I58" i="131"/>
  <c r="I62" i="131"/>
  <c r="I65" i="131"/>
  <c r="I71" i="131"/>
  <c r="I77" i="131"/>
  <c r="I80" i="131"/>
  <c r="I83" i="131"/>
  <c r="I93" i="131"/>
  <c r="I96" i="131"/>
  <c r="I99" i="131"/>
  <c r="I104" i="131"/>
  <c r="I109" i="131"/>
  <c r="I113" i="131"/>
  <c r="I116" i="131"/>
  <c r="I121" i="131"/>
  <c r="I130" i="131"/>
  <c r="I133" i="131"/>
  <c r="I149" i="131"/>
  <c r="I159" i="131"/>
  <c r="I162" i="131"/>
  <c r="I167" i="131"/>
  <c r="I171" i="131"/>
  <c r="I174" i="131"/>
  <c r="I179" i="131"/>
  <c r="I183" i="131"/>
  <c r="I192" i="131"/>
  <c r="I198" i="131"/>
  <c r="I203" i="131"/>
  <c r="I206" i="131"/>
  <c r="H125" i="131"/>
  <c r="H98" i="131"/>
  <c r="H95" i="131"/>
  <c r="H41" i="131" l="1"/>
  <c r="H21" i="131"/>
  <c r="F206" i="130" l="1"/>
  <c r="F201" i="130"/>
  <c r="E206" i="130"/>
  <c r="E201" i="130"/>
  <c r="F196" i="130"/>
  <c r="E196" i="130"/>
  <c r="F186" i="130"/>
  <c r="F181" i="130"/>
  <c r="E181" i="130"/>
  <c r="F177" i="130"/>
  <c r="E177" i="130"/>
  <c r="F172" i="130"/>
  <c r="E172" i="130"/>
  <c r="F167" i="130"/>
  <c r="E167" i="130"/>
  <c r="F163" i="130"/>
  <c r="E163" i="130"/>
  <c r="F158" i="130"/>
  <c r="F155" i="130"/>
  <c r="F152" i="130"/>
  <c r="F149" i="130"/>
  <c r="F145" i="130"/>
  <c r="F142" i="130"/>
  <c r="F139" i="130"/>
  <c r="F135" i="130"/>
  <c r="F132" i="130"/>
  <c r="F129" i="130"/>
  <c r="E129" i="130"/>
  <c r="F122" i="130"/>
  <c r="F109" i="130"/>
  <c r="E109" i="130"/>
  <c r="F100" i="130"/>
  <c r="E100" i="130"/>
  <c r="F95" i="130"/>
  <c r="G95" i="130" s="1"/>
  <c r="E95" i="130"/>
  <c r="F92" i="130"/>
  <c r="G92" i="130" s="1"/>
  <c r="E92" i="130"/>
  <c r="F85" i="130"/>
  <c r="F82" i="130"/>
  <c r="F79" i="130"/>
  <c r="F76" i="130"/>
  <c r="E76" i="130"/>
  <c r="F73" i="130"/>
  <c r="E73" i="130"/>
  <c r="F70" i="130"/>
  <c r="F58" i="130"/>
  <c r="G58" i="130" s="1"/>
  <c r="F67" i="130"/>
  <c r="E67" i="130"/>
  <c r="E58" i="130"/>
  <c r="F54" i="130"/>
  <c r="G54" i="130" s="1"/>
  <c r="E54" i="130"/>
  <c r="F52" i="130"/>
  <c r="G52" i="130" s="1"/>
  <c r="E52" i="130"/>
  <c r="F48" i="130"/>
  <c r="G48" i="130" s="1"/>
  <c r="E48" i="130"/>
  <c r="F45" i="130"/>
  <c r="F41" i="130"/>
  <c r="F33" i="130"/>
  <c r="G33" i="130" s="1"/>
  <c r="E33" i="130"/>
  <c r="F13" i="130"/>
  <c r="F18" i="130"/>
  <c r="F30" i="130"/>
  <c r="F38" i="130"/>
  <c r="F43" i="130"/>
  <c r="H202" i="131"/>
  <c r="H201" i="131"/>
  <c r="H197" i="131"/>
  <c r="H196" i="131"/>
  <c r="H191" i="131"/>
  <c r="H190" i="131"/>
  <c r="H189" i="131" s="1"/>
  <c r="H187" i="131"/>
  <c r="H186" i="131"/>
  <c r="H185" i="131" s="1"/>
  <c r="H182" i="131"/>
  <c r="H181" i="131"/>
  <c r="H180" i="131"/>
  <c r="H178" i="131"/>
  <c r="H177" i="131"/>
  <c r="H173" i="131"/>
  <c r="H172" i="131"/>
  <c r="H170" i="131"/>
  <c r="H169" i="131"/>
  <c r="H166" i="131"/>
  <c r="H165" i="131"/>
  <c r="H161" i="131"/>
  <c r="H160" i="131"/>
  <c r="H158" i="131"/>
  <c r="H157" i="131"/>
  <c r="H155" i="131"/>
  <c r="H154" i="131"/>
  <c r="H152" i="131"/>
  <c r="H151" i="131"/>
  <c r="H148" i="131"/>
  <c r="H147" i="131"/>
  <c r="H145" i="131"/>
  <c r="H144" i="131"/>
  <c r="H142" i="131"/>
  <c r="H141" i="131"/>
  <c r="H138" i="131"/>
  <c r="H137" i="131"/>
  <c r="H135" i="131"/>
  <c r="H132" i="131"/>
  <c r="H124" i="131"/>
  <c r="H112" i="131"/>
  <c r="H107" i="131"/>
  <c r="H106" i="131"/>
  <c r="H103" i="131"/>
  <c r="H97" i="131"/>
  <c r="H94" i="131"/>
  <c r="H88" i="131"/>
  <c r="H87" i="131"/>
  <c r="H85" i="131"/>
  <c r="H84" i="131"/>
  <c r="H82" i="131"/>
  <c r="H81" i="131"/>
  <c r="H79" i="131"/>
  <c r="H78" i="131"/>
  <c r="H76" i="131"/>
  <c r="H75" i="131"/>
  <c r="H73" i="131"/>
  <c r="H72" i="131"/>
  <c r="H70" i="131"/>
  <c r="H69" i="131"/>
  <c r="H67" i="131"/>
  <c r="H66" i="131"/>
  <c r="H61" i="131"/>
  <c r="H60" i="131"/>
  <c r="H57" i="131"/>
  <c r="H55" i="131"/>
  <c r="H51" i="131"/>
  <c r="H48" i="131"/>
  <c r="H46" i="131"/>
  <c r="H44" i="131"/>
  <c r="H40" i="131"/>
  <c r="H34" i="131"/>
  <c r="H31" i="131"/>
  <c r="F20" i="130"/>
  <c r="H18" i="131"/>
  <c r="H13" i="131"/>
  <c r="F205" i="130"/>
  <c r="F204" i="130"/>
  <c r="F203" i="130" s="1"/>
  <c r="F200" i="130"/>
  <c r="F199" i="130"/>
  <c r="F195" i="130"/>
  <c r="F194" i="130"/>
  <c r="F187" i="130" s="1"/>
  <c r="F185" i="130"/>
  <c r="F184" i="130"/>
  <c r="F179" i="130"/>
  <c r="F176" i="130"/>
  <c r="F175" i="130"/>
  <c r="F171" i="130"/>
  <c r="F166" i="130"/>
  <c r="F165" i="130"/>
  <c r="F162" i="130"/>
  <c r="F157" i="130"/>
  <c r="F153" i="130"/>
  <c r="F151" i="130"/>
  <c r="F148" i="130"/>
  <c r="F144" i="130"/>
  <c r="F143" i="130"/>
  <c r="F141" i="130"/>
  <c r="F140" i="130"/>
  <c r="F138" i="130"/>
  <c r="F137" i="130"/>
  <c r="F134" i="130"/>
  <c r="F133" i="130"/>
  <c r="F131" i="130"/>
  <c r="F121" i="130"/>
  <c r="F108" i="130"/>
  <c r="F99" i="130"/>
  <c r="F94" i="130"/>
  <c r="F91" i="130"/>
  <c r="F84" i="130"/>
  <c r="F83" i="130"/>
  <c r="F81" i="130"/>
  <c r="F80" i="130"/>
  <c r="F78" i="130"/>
  <c r="F77" i="130"/>
  <c r="F75" i="130"/>
  <c r="F74" i="130"/>
  <c r="F72" i="130"/>
  <c r="F71" i="130"/>
  <c r="F66" i="130"/>
  <c r="F69" i="130"/>
  <c r="F68" i="130"/>
  <c r="F65" i="130"/>
  <c r="F57" i="130"/>
  <c r="F56" i="130"/>
  <c r="F53" i="130"/>
  <c r="F51" i="130"/>
  <c r="F47" i="130"/>
  <c r="F44" i="130"/>
  <c r="F42" i="130"/>
  <c r="F40" i="130"/>
  <c r="F32" i="130"/>
  <c r="F29" i="130"/>
  <c r="F17" i="130"/>
  <c r="H184" i="131" l="1"/>
  <c r="G196" i="130"/>
  <c r="G100" i="130"/>
  <c r="H12" i="131"/>
  <c r="H33" i="131"/>
  <c r="H59" i="131"/>
  <c r="H102" i="131"/>
  <c r="F104" i="130"/>
  <c r="F103" i="130" s="1"/>
  <c r="H123" i="131"/>
  <c r="H134" i="131"/>
  <c r="H17" i="131"/>
  <c r="H50" i="131"/>
  <c r="H105" i="131"/>
  <c r="H111" i="131"/>
  <c r="H131" i="131"/>
  <c r="H140" i="131"/>
  <c r="H150" i="131"/>
  <c r="H164" i="131"/>
  <c r="H176" i="131"/>
  <c r="H195" i="131"/>
  <c r="H200" i="131"/>
  <c r="F31" i="130"/>
  <c r="F46" i="130"/>
  <c r="F93" i="130"/>
  <c r="F107" i="130"/>
  <c r="F130" i="130"/>
  <c r="F183" i="130"/>
  <c r="F182" i="130" s="1"/>
  <c r="F198" i="130"/>
  <c r="F202" i="130"/>
  <c r="F19" i="130"/>
  <c r="F37" i="130"/>
  <c r="F128" i="130"/>
  <c r="G129" i="130"/>
  <c r="F147" i="130"/>
  <c r="F154" i="130"/>
  <c r="G67" i="130"/>
  <c r="G73" i="130"/>
  <c r="G76" i="130"/>
  <c r="G206" i="130"/>
  <c r="F55" i="130"/>
  <c r="F90" i="130"/>
  <c r="F87" i="130" s="1"/>
  <c r="F98" i="130"/>
  <c r="F120" i="130"/>
  <c r="F136" i="130"/>
  <c r="F174" i="130"/>
  <c r="F12" i="130"/>
  <c r="F150" i="130"/>
  <c r="F156" i="130"/>
  <c r="F161" i="130"/>
  <c r="G163" i="130"/>
  <c r="F170" i="130"/>
  <c r="G172" i="130"/>
  <c r="F180" i="130"/>
  <c r="G181" i="130"/>
  <c r="G109" i="130"/>
  <c r="G167" i="130"/>
  <c r="G177" i="130"/>
  <c r="G201" i="130"/>
  <c r="H168" i="131"/>
  <c r="F102" i="130"/>
  <c r="F178" i="130"/>
  <c r="F164" i="130"/>
  <c r="F36" i="130"/>
  <c r="H127" i="131"/>
  <c r="H91" i="131"/>
  <c r="H63" i="131"/>
  <c r="H54" i="131"/>
  <c r="H43" i="131"/>
  <c r="H16" i="131"/>
  <c r="H15" i="131"/>
  <c r="H11" i="131"/>
  <c r="F39" i="130"/>
  <c r="F59" i="130"/>
  <c r="F50" i="130"/>
  <c r="F16" i="130"/>
  <c r="F146" i="130" l="1"/>
  <c r="H10" i="131"/>
  <c r="H199" i="131"/>
  <c r="H194" i="131"/>
  <c r="H175" i="131"/>
  <c r="H122" i="131"/>
  <c r="H110" i="131"/>
  <c r="H53" i="131"/>
  <c r="H90" i="131"/>
  <c r="H163" i="131"/>
  <c r="H101" i="131"/>
  <c r="F14" i="130"/>
  <c r="F49" i="130"/>
  <c r="F86" i="130"/>
  <c r="F101" i="130"/>
  <c r="F127" i="130"/>
  <c r="F197" i="130"/>
  <c r="F106" i="130"/>
  <c r="F173" i="130"/>
  <c r="F160" i="130"/>
  <c r="F159" i="130" s="1"/>
  <c r="F11" i="130"/>
  <c r="F119" i="130"/>
  <c r="F97" i="130"/>
  <c r="F34" i="130"/>
  <c r="F35" i="130"/>
  <c r="H38" i="131"/>
  <c r="H39" i="131"/>
  <c r="H37" i="131" l="1"/>
  <c r="H114" i="131"/>
  <c r="H9" i="131"/>
  <c r="H100" i="131"/>
  <c r="F123" i="130"/>
  <c r="F96" i="130"/>
  <c r="F10" i="130"/>
  <c r="O11" i="125"/>
  <c r="O13" i="125"/>
  <c r="O14" i="125"/>
  <c r="O16" i="125"/>
  <c r="O17" i="125"/>
  <c r="O20" i="125"/>
  <c r="O25" i="125"/>
  <c r="O27" i="125"/>
  <c r="O31" i="125"/>
  <c r="O35" i="125"/>
  <c r="O41" i="125"/>
  <c r="O45" i="125"/>
  <c r="O46" i="125"/>
  <c r="O49" i="125"/>
  <c r="H36" i="131" l="1"/>
  <c r="H207" i="131" s="1"/>
  <c r="F118" i="130"/>
  <c r="F9" i="130"/>
  <c r="F48" i="125"/>
  <c r="G48" i="125"/>
  <c r="N48" i="125"/>
  <c r="F47" i="125"/>
  <c r="G47" i="125"/>
  <c r="N47" i="125"/>
  <c r="F44" i="125"/>
  <c r="G44" i="125"/>
  <c r="H44" i="125"/>
  <c r="I44" i="125"/>
  <c r="J44" i="125"/>
  <c r="K44" i="125"/>
  <c r="L44" i="125"/>
  <c r="M44" i="125"/>
  <c r="N44" i="125"/>
  <c r="F43" i="125"/>
  <c r="F42" i="125" s="1"/>
  <c r="G43" i="125"/>
  <c r="H43" i="125"/>
  <c r="I43" i="125"/>
  <c r="J43" i="125"/>
  <c r="K43" i="125"/>
  <c r="L43" i="125"/>
  <c r="M43" i="125"/>
  <c r="N43" i="125"/>
  <c r="G42" i="125"/>
  <c r="F40" i="125"/>
  <c r="G40" i="125"/>
  <c r="N40" i="125"/>
  <c r="F39" i="125"/>
  <c r="G39" i="125"/>
  <c r="N39" i="125"/>
  <c r="N34" i="125"/>
  <c r="N33" i="125" s="1"/>
  <c r="N32" i="125" s="1"/>
  <c r="H30" i="125"/>
  <c r="I30" i="125"/>
  <c r="I29" i="125" s="1"/>
  <c r="I28" i="125" s="1"/>
  <c r="J30" i="125"/>
  <c r="K30" i="125"/>
  <c r="K29" i="125" s="1"/>
  <c r="K28" i="125" s="1"/>
  <c r="N30" i="125"/>
  <c r="H29" i="125"/>
  <c r="H28" i="125" s="1"/>
  <c r="J29" i="125"/>
  <c r="N29" i="125"/>
  <c r="N28" i="125" s="1"/>
  <c r="J28" i="125"/>
  <c r="N26" i="125"/>
  <c r="K24" i="125"/>
  <c r="N24" i="125"/>
  <c r="K23" i="125"/>
  <c r="K22" i="125"/>
  <c r="K19" i="125"/>
  <c r="N19" i="125"/>
  <c r="K18" i="125"/>
  <c r="K15" i="125"/>
  <c r="N15" i="125"/>
  <c r="K12" i="125"/>
  <c r="N12" i="125"/>
  <c r="N10" i="125"/>
  <c r="D36" i="125"/>
  <c r="F36" i="125"/>
  <c r="E34" i="125"/>
  <c r="O34" i="125" s="1"/>
  <c r="D21" i="125"/>
  <c r="F110" i="130" l="1"/>
  <c r="N42" i="125"/>
  <c r="G38" i="125"/>
  <c r="G37" i="125" s="1"/>
  <c r="F38" i="125"/>
  <c r="F37" i="125" s="1"/>
  <c r="N23" i="125"/>
  <c r="N18" i="125"/>
  <c r="N9" i="125"/>
  <c r="G36" i="125"/>
  <c r="N38" i="125"/>
  <c r="F207" i="130" l="1"/>
  <c r="N37" i="125"/>
  <c r="N22" i="125"/>
  <c r="N21" i="125" l="1"/>
  <c r="E47" i="125"/>
  <c r="O47" i="125" s="1"/>
  <c r="E48" i="125"/>
  <c r="O48" i="125" s="1"/>
  <c r="H49" i="125"/>
  <c r="I49" i="125"/>
  <c r="J49" i="125"/>
  <c r="K49" i="125"/>
  <c r="L49" i="125"/>
  <c r="E10" i="125"/>
  <c r="O10" i="125" s="1"/>
  <c r="F13" i="125"/>
  <c r="H13" i="125"/>
  <c r="H12" i="125" s="1"/>
  <c r="I13" i="125"/>
  <c r="I12" i="125" s="1"/>
  <c r="J13" i="125"/>
  <c r="J12" i="125" s="1"/>
  <c r="L13" i="125"/>
  <c r="K48" i="125" l="1"/>
  <c r="K47" i="125"/>
  <c r="K42" i="125" s="1"/>
  <c r="I48" i="125"/>
  <c r="I47" i="125"/>
  <c r="I42" i="125" s="1"/>
  <c r="M49" i="125"/>
  <c r="L47" i="125"/>
  <c r="L42" i="125" s="1"/>
  <c r="L48" i="125"/>
  <c r="J47" i="125"/>
  <c r="J42" i="125" s="1"/>
  <c r="J48" i="125"/>
  <c r="H47" i="125"/>
  <c r="H42" i="125" s="1"/>
  <c r="H48" i="125"/>
  <c r="N8" i="125"/>
  <c r="N50" i="125" s="1"/>
  <c r="M13" i="125"/>
  <c r="M12" i="125" s="1"/>
  <c r="L12" i="125"/>
  <c r="G13" i="125"/>
  <c r="G12" i="125" s="1"/>
  <c r="F12" i="125"/>
  <c r="G153" i="131"/>
  <c r="I153" i="131" s="1"/>
  <c r="G126" i="131"/>
  <c r="I126" i="131" s="1"/>
  <c r="G108" i="131"/>
  <c r="I108" i="131" s="1"/>
  <c r="G143" i="131"/>
  <c r="E149" i="130"/>
  <c r="G149" i="130" s="1"/>
  <c r="G136" i="131"/>
  <c r="E122" i="130"/>
  <c r="G122" i="130" s="1"/>
  <c r="G139" i="131"/>
  <c r="I139" i="131" s="1"/>
  <c r="G156" i="131"/>
  <c r="I156" i="131" s="1"/>
  <c r="G146" i="131"/>
  <c r="G47" i="131"/>
  <c r="G45" i="131"/>
  <c r="I45" i="131" s="1"/>
  <c r="E43" i="130" l="1"/>
  <c r="G43" i="130" s="1"/>
  <c r="I47" i="131"/>
  <c r="E142" i="130"/>
  <c r="G142" i="130" s="1"/>
  <c r="I146" i="131"/>
  <c r="E132" i="130"/>
  <c r="G132" i="130" s="1"/>
  <c r="I136" i="131"/>
  <c r="E139" i="130"/>
  <c r="G139" i="130" s="1"/>
  <c r="I143" i="131"/>
  <c r="M48" i="125"/>
  <c r="M47" i="125"/>
  <c r="M42" i="125" s="1"/>
  <c r="G19" i="131"/>
  <c r="I19" i="131" s="1"/>
  <c r="G74" i="131" l="1"/>
  <c r="I74" i="131" s="1"/>
  <c r="G188" i="131"/>
  <c r="G68" i="131"/>
  <c r="G49" i="131"/>
  <c r="E30" i="130"/>
  <c r="G30" i="130" s="1"/>
  <c r="E158" i="130"/>
  <c r="G158" i="130" s="1"/>
  <c r="E155" i="130"/>
  <c r="G155" i="130" s="1"/>
  <c r="E152" i="130"/>
  <c r="G152" i="130" s="1"/>
  <c r="E145" i="130"/>
  <c r="G145" i="130" s="1"/>
  <c r="E135" i="130"/>
  <c r="G135" i="130" s="1"/>
  <c r="E79" i="130"/>
  <c r="G79" i="130" s="1"/>
  <c r="E70" i="130"/>
  <c r="G70" i="130" s="1"/>
  <c r="E41" i="130"/>
  <c r="G41" i="130" s="1"/>
  <c r="E18" i="130"/>
  <c r="G18" i="130" s="1"/>
  <c r="G46" i="131"/>
  <c r="I46" i="131" s="1"/>
  <c r="G205" i="131"/>
  <c r="I205" i="131" s="1"/>
  <c r="G204" i="131"/>
  <c r="I204" i="131" s="1"/>
  <c r="G202" i="131"/>
  <c r="I202" i="131" s="1"/>
  <c r="G201" i="131"/>
  <c r="G197" i="131"/>
  <c r="I197" i="131" s="1"/>
  <c r="G196" i="131"/>
  <c r="I196" i="131" s="1"/>
  <c r="G193" i="131"/>
  <c r="I193" i="131" s="1"/>
  <c r="G191" i="131"/>
  <c r="I191" i="131" s="1"/>
  <c r="G190" i="131"/>
  <c r="G187" i="131"/>
  <c r="I187" i="131" s="1"/>
  <c r="G186" i="131"/>
  <c r="G182" i="131"/>
  <c r="I182" i="131" s="1"/>
  <c r="G181" i="131"/>
  <c r="I181" i="131" s="1"/>
  <c r="G180" i="131"/>
  <c r="I180" i="131" s="1"/>
  <c r="G178" i="131"/>
  <c r="I178" i="131" s="1"/>
  <c r="G177" i="131"/>
  <c r="G173" i="131"/>
  <c r="I173" i="131" s="1"/>
  <c r="G172" i="131"/>
  <c r="I172" i="131" s="1"/>
  <c r="G170" i="131"/>
  <c r="I170" i="131" s="1"/>
  <c r="G169" i="131"/>
  <c r="G166" i="131"/>
  <c r="I166" i="131" s="1"/>
  <c r="G165" i="131"/>
  <c r="G161" i="131"/>
  <c r="I161" i="131" s="1"/>
  <c r="G160" i="131"/>
  <c r="I160" i="131" s="1"/>
  <c r="G158" i="131"/>
  <c r="I158" i="131" s="1"/>
  <c r="G157" i="131"/>
  <c r="I157" i="131" s="1"/>
  <c r="G155" i="131"/>
  <c r="I155" i="131" s="1"/>
  <c r="G154" i="131"/>
  <c r="I154" i="131" s="1"/>
  <c r="G152" i="131"/>
  <c r="I152" i="131" s="1"/>
  <c r="G151" i="131"/>
  <c r="I151" i="131" s="1"/>
  <c r="G148" i="131"/>
  <c r="I148" i="131" s="1"/>
  <c r="G147" i="131"/>
  <c r="I147" i="131" s="1"/>
  <c r="G145" i="131"/>
  <c r="I145" i="131" s="1"/>
  <c r="G144" i="131"/>
  <c r="I144" i="131" s="1"/>
  <c r="G142" i="131"/>
  <c r="I142" i="131" s="1"/>
  <c r="G141" i="131"/>
  <c r="I141" i="131" s="1"/>
  <c r="G138" i="131"/>
  <c r="I138" i="131" s="1"/>
  <c r="G137" i="131"/>
  <c r="I137" i="131" s="1"/>
  <c r="G135" i="131"/>
  <c r="G132" i="131"/>
  <c r="G129" i="131"/>
  <c r="G125" i="131"/>
  <c r="G120" i="131"/>
  <c r="G112" i="131"/>
  <c r="G107" i="131"/>
  <c r="G106" i="131"/>
  <c r="G103" i="131"/>
  <c r="G98" i="131"/>
  <c r="G95" i="131"/>
  <c r="G92" i="131"/>
  <c r="I92" i="131" s="1"/>
  <c r="G89" i="131"/>
  <c r="I89" i="131" s="1"/>
  <c r="G86" i="131"/>
  <c r="I86" i="131" s="1"/>
  <c r="G82" i="131"/>
  <c r="I82" i="131" s="1"/>
  <c r="G81" i="131"/>
  <c r="I81" i="131" s="1"/>
  <c r="G79" i="131"/>
  <c r="I79" i="131" s="1"/>
  <c r="G78" i="131"/>
  <c r="I78" i="131" s="1"/>
  <c r="G76" i="131"/>
  <c r="I76" i="131" s="1"/>
  <c r="G75" i="131"/>
  <c r="I75" i="131" s="1"/>
  <c r="G73" i="131"/>
  <c r="I73" i="131" s="1"/>
  <c r="G72" i="131"/>
  <c r="I72" i="131" s="1"/>
  <c r="G70" i="131"/>
  <c r="I70" i="131" s="1"/>
  <c r="G69" i="131"/>
  <c r="I69" i="131" s="1"/>
  <c r="G67" i="131"/>
  <c r="I67" i="131" s="1"/>
  <c r="G66" i="131"/>
  <c r="I66" i="131" s="1"/>
  <c r="G64" i="131"/>
  <c r="I64" i="131" s="1"/>
  <c r="G61" i="131"/>
  <c r="I61" i="131" s="1"/>
  <c r="G60" i="131"/>
  <c r="G57" i="131"/>
  <c r="I57" i="131" s="1"/>
  <c r="G55" i="131"/>
  <c r="I55" i="131" s="1"/>
  <c r="G51" i="131"/>
  <c r="G48" i="131"/>
  <c r="I48" i="131" s="1"/>
  <c r="G44" i="131"/>
  <c r="I44" i="131" s="1"/>
  <c r="G42" i="131"/>
  <c r="G34" i="131"/>
  <c r="G31" i="131"/>
  <c r="G29" i="131"/>
  <c r="I29" i="131" s="1"/>
  <c r="G27" i="131"/>
  <c r="I27" i="131" s="1"/>
  <c r="G21" i="131"/>
  <c r="G18" i="131"/>
  <c r="I18" i="131" s="1"/>
  <c r="G14" i="131"/>
  <c r="G87" i="131" l="1"/>
  <c r="I87" i="131" s="1"/>
  <c r="G195" i="131"/>
  <c r="I190" i="131"/>
  <c r="G189" i="131"/>
  <c r="E38" i="130"/>
  <c r="G38" i="130" s="1"/>
  <c r="I42" i="131"/>
  <c r="G97" i="131"/>
  <c r="I97" i="131" s="1"/>
  <c r="I98" i="131"/>
  <c r="G105" i="131"/>
  <c r="I105" i="131" s="1"/>
  <c r="I106" i="131"/>
  <c r="G111" i="131"/>
  <c r="I112" i="131"/>
  <c r="G124" i="131"/>
  <c r="I125" i="131"/>
  <c r="G131" i="131"/>
  <c r="I131" i="131" s="1"/>
  <c r="I132" i="131"/>
  <c r="G164" i="131"/>
  <c r="I164" i="131" s="1"/>
  <c r="I165" i="131"/>
  <c r="G168" i="131"/>
  <c r="I168" i="131" s="1"/>
  <c r="I169" i="131"/>
  <c r="G176" i="131"/>
  <c r="I177" i="131"/>
  <c r="G194" i="131"/>
  <c r="I194" i="131" s="1"/>
  <c r="I195" i="131"/>
  <c r="E64" i="130"/>
  <c r="G64" i="130" s="1"/>
  <c r="I68" i="131"/>
  <c r="G17" i="131"/>
  <c r="I17" i="131" s="1"/>
  <c r="I31" i="131"/>
  <c r="G59" i="131"/>
  <c r="I59" i="131" s="1"/>
  <c r="I60" i="131"/>
  <c r="E13" i="130"/>
  <c r="G13" i="130" s="1"/>
  <c r="I14" i="131"/>
  <c r="E20" i="130"/>
  <c r="G20" i="130" s="1"/>
  <c r="I21" i="131"/>
  <c r="G33" i="131"/>
  <c r="I33" i="131" s="1"/>
  <c r="I34" i="131"/>
  <c r="G50" i="131"/>
  <c r="I50" i="131" s="1"/>
  <c r="I51" i="131"/>
  <c r="G94" i="131"/>
  <c r="I94" i="131" s="1"/>
  <c r="I95" i="131"/>
  <c r="G102" i="131"/>
  <c r="I103" i="131"/>
  <c r="E104" i="130"/>
  <c r="G104" i="130" s="1"/>
  <c r="I107" i="131"/>
  <c r="G119" i="131"/>
  <c r="I120" i="131"/>
  <c r="G128" i="131"/>
  <c r="I128" i="131" s="1"/>
  <c r="I129" i="131"/>
  <c r="G134" i="131"/>
  <c r="I134" i="131" s="1"/>
  <c r="I135" i="131"/>
  <c r="G185" i="131"/>
  <c r="I185" i="131" s="1"/>
  <c r="I186" i="131"/>
  <c r="G200" i="131"/>
  <c r="I201" i="131"/>
  <c r="E45" i="130"/>
  <c r="G45" i="130" s="1"/>
  <c r="I49" i="131"/>
  <c r="E186" i="130"/>
  <c r="G186" i="130" s="1"/>
  <c r="I188" i="131"/>
  <c r="G85" i="131"/>
  <c r="I85" i="131" s="1"/>
  <c r="E82" i="130"/>
  <c r="G82" i="130" s="1"/>
  <c r="G88" i="131"/>
  <c r="I88" i="131" s="1"/>
  <c r="E85" i="130"/>
  <c r="G85" i="130" s="1"/>
  <c r="G140" i="131"/>
  <c r="I140" i="131" s="1"/>
  <c r="G84" i="131"/>
  <c r="I84" i="131" s="1"/>
  <c r="G91" i="131"/>
  <c r="G40" i="131"/>
  <c r="I40" i="131" s="1"/>
  <c r="G13" i="131"/>
  <c r="G41" i="131"/>
  <c r="I41" i="131" s="1"/>
  <c r="G54" i="131"/>
  <c r="G150" i="131"/>
  <c r="I150" i="131" s="1"/>
  <c r="G15" i="131"/>
  <c r="I15" i="131" s="1"/>
  <c r="G63" i="131"/>
  <c r="G43" i="131"/>
  <c r="I43" i="131" s="1"/>
  <c r="G16" i="131"/>
  <c r="I16" i="131" s="1"/>
  <c r="G163" i="131"/>
  <c r="I163" i="131" s="1"/>
  <c r="G26" i="131"/>
  <c r="G90" i="131" l="1"/>
  <c r="I90" i="131" s="1"/>
  <c r="I91" i="131"/>
  <c r="G199" i="131"/>
  <c r="I199" i="131" s="1"/>
  <c r="I200" i="131"/>
  <c r="G118" i="131"/>
  <c r="I119" i="131"/>
  <c r="G101" i="131"/>
  <c r="I102" i="131"/>
  <c r="G175" i="131"/>
  <c r="I175" i="131" s="1"/>
  <c r="I176" i="131"/>
  <c r="G123" i="131"/>
  <c r="I123" i="131" s="1"/>
  <c r="G122" i="131"/>
  <c r="I122" i="131" s="1"/>
  <c r="I124" i="131"/>
  <c r="G110" i="131"/>
  <c r="I110" i="131" s="1"/>
  <c r="I111" i="131"/>
  <c r="G25" i="131"/>
  <c r="I25" i="131" s="1"/>
  <c r="I26" i="131"/>
  <c r="I63" i="131"/>
  <c r="G53" i="131"/>
  <c r="I53" i="131" s="1"/>
  <c r="I54" i="131"/>
  <c r="G12" i="131"/>
  <c r="I13" i="131"/>
  <c r="G127" i="131"/>
  <c r="I127" i="131" s="1"/>
  <c r="G10" i="131"/>
  <c r="G39" i="131"/>
  <c r="I39" i="131" s="1"/>
  <c r="G114" i="131"/>
  <c r="I114" i="131" s="1"/>
  <c r="G11" i="131" l="1"/>
  <c r="I11" i="131" s="1"/>
  <c r="I12" i="131"/>
  <c r="I101" i="131"/>
  <c r="G100" i="131"/>
  <c r="I100" i="131" s="1"/>
  <c r="I118" i="131"/>
  <c r="G115" i="131"/>
  <c r="I115" i="131" s="1"/>
  <c r="G117" i="131"/>
  <c r="I117" i="131" s="1"/>
  <c r="G184" i="131"/>
  <c r="G38" i="131"/>
  <c r="I38" i="131" s="1"/>
  <c r="G9" i="131"/>
  <c r="I9" i="131" s="1"/>
  <c r="I10" i="131"/>
  <c r="G37" i="131"/>
  <c r="E205" i="130"/>
  <c r="G205" i="130" s="1"/>
  <c r="E204" i="130"/>
  <c r="E203" i="130" s="1"/>
  <c r="E200" i="130"/>
  <c r="G200" i="130" s="1"/>
  <c r="E199" i="130"/>
  <c r="E195" i="130"/>
  <c r="G195" i="130" s="1"/>
  <c r="E194" i="130"/>
  <c r="E192" i="130"/>
  <c r="G192" i="130" s="1"/>
  <c r="E190" i="130"/>
  <c r="G190" i="130" s="1"/>
  <c r="E185" i="130"/>
  <c r="G185" i="130" s="1"/>
  <c r="E184" i="130"/>
  <c r="E180" i="130"/>
  <c r="G180" i="130" s="1"/>
  <c r="E179" i="130"/>
  <c r="G179" i="130" s="1"/>
  <c r="E178" i="130"/>
  <c r="G178" i="130" s="1"/>
  <c r="E176" i="130"/>
  <c r="G176" i="130" s="1"/>
  <c r="E175" i="130"/>
  <c r="E171" i="130"/>
  <c r="G171" i="130" s="1"/>
  <c r="E170" i="130"/>
  <c r="G170" i="130" s="1"/>
  <c r="E168" i="130"/>
  <c r="G168" i="130" s="1"/>
  <c r="E166" i="130"/>
  <c r="G166" i="130" s="1"/>
  <c r="E165" i="130"/>
  <c r="G165" i="130" s="1"/>
  <c r="E162" i="130"/>
  <c r="G162" i="130" s="1"/>
  <c r="E161" i="130"/>
  <c r="E157" i="130"/>
  <c r="G157" i="130" s="1"/>
  <c r="E154" i="130"/>
  <c r="G154" i="130" s="1"/>
  <c r="E153" i="130"/>
  <c r="G153" i="130" s="1"/>
  <c r="E151" i="130"/>
  <c r="G151" i="130" s="1"/>
  <c r="E150" i="130"/>
  <c r="G150" i="130" s="1"/>
  <c r="E148" i="130"/>
  <c r="G148" i="130" s="1"/>
  <c r="E147" i="130"/>
  <c r="G147" i="130" s="1"/>
  <c r="E144" i="130"/>
  <c r="G144" i="130" s="1"/>
  <c r="E141" i="130"/>
  <c r="G141" i="130" s="1"/>
  <c r="E140" i="130"/>
  <c r="G140" i="130" s="1"/>
  <c r="E138" i="130"/>
  <c r="G138" i="130" s="1"/>
  <c r="E137" i="130"/>
  <c r="G137" i="130" s="1"/>
  <c r="E134" i="130"/>
  <c r="G134" i="130" s="1"/>
  <c r="E133" i="130"/>
  <c r="G133" i="130" s="1"/>
  <c r="E131" i="130"/>
  <c r="E128" i="130"/>
  <c r="E125" i="130"/>
  <c r="E121" i="130"/>
  <c r="E116" i="130"/>
  <c r="E108" i="130"/>
  <c r="E103" i="130"/>
  <c r="G103" i="130" s="1"/>
  <c r="E102" i="130"/>
  <c r="E99" i="130"/>
  <c r="E94" i="130"/>
  <c r="E91" i="130"/>
  <c r="E88" i="130"/>
  <c r="G88" i="130" s="1"/>
  <c r="E84" i="130"/>
  <c r="G84" i="130" s="1"/>
  <c r="E81" i="130"/>
  <c r="G81" i="130" s="1"/>
  <c r="E78" i="130"/>
  <c r="G78" i="130" s="1"/>
  <c r="E75" i="130"/>
  <c r="G75" i="130" s="1"/>
  <c r="E74" i="130"/>
  <c r="G74" i="130" s="1"/>
  <c r="E72" i="130"/>
  <c r="G72" i="130" s="1"/>
  <c r="E71" i="130"/>
  <c r="G71" i="130" s="1"/>
  <c r="E69" i="130"/>
  <c r="G69" i="130" s="1"/>
  <c r="E68" i="130"/>
  <c r="G68" i="130" s="1"/>
  <c r="E66" i="130"/>
  <c r="G66" i="130" s="1"/>
  <c r="E65" i="130"/>
  <c r="G65" i="130" s="1"/>
  <c r="E63" i="130"/>
  <c r="G63" i="130" s="1"/>
  <c r="E62" i="130"/>
  <c r="G62" i="130" s="1"/>
  <c r="E60" i="130"/>
  <c r="G60" i="130" s="1"/>
  <c r="E57" i="130"/>
  <c r="G57" i="130" s="1"/>
  <c r="E56" i="130"/>
  <c r="E53" i="130"/>
  <c r="G53" i="130" s="1"/>
  <c r="E51" i="130"/>
  <c r="G51" i="130" s="1"/>
  <c r="E47" i="130"/>
  <c r="E44" i="130"/>
  <c r="G44" i="130" s="1"/>
  <c r="E42" i="130"/>
  <c r="G42" i="130" s="1"/>
  <c r="E40" i="130"/>
  <c r="G40" i="130" s="1"/>
  <c r="E36" i="130"/>
  <c r="G36" i="130" s="1"/>
  <c r="E37" i="130"/>
  <c r="G37" i="130" s="1"/>
  <c r="E32" i="130"/>
  <c r="E29" i="130"/>
  <c r="G29" i="130" s="1"/>
  <c r="E27" i="130"/>
  <c r="G27" i="130" s="1"/>
  <c r="E25" i="130"/>
  <c r="G25" i="130" s="1"/>
  <c r="E19" i="130"/>
  <c r="G19" i="130" s="1"/>
  <c r="E17" i="130"/>
  <c r="G17" i="130" s="1"/>
  <c r="E12" i="130"/>
  <c r="G194" i="130" l="1"/>
  <c r="G36" i="131"/>
  <c r="I36" i="131" s="1"/>
  <c r="I37" i="131"/>
  <c r="I189" i="131"/>
  <c r="I184" i="131"/>
  <c r="G207" i="131"/>
  <c r="I207" i="131" s="1"/>
  <c r="E55" i="130"/>
  <c r="G55" i="130" s="1"/>
  <c r="G56" i="130"/>
  <c r="E93" i="130"/>
  <c r="G93" i="130" s="1"/>
  <c r="G94" i="130"/>
  <c r="E101" i="130"/>
  <c r="G101" i="130" s="1"/>
  <c r="G102" i="130"/>
  <c r="E107" i="130"/>
  <c r="G108" i="130"/>
  <c r="E120" i="130"/>
  <c r="G121" i="130"/>
  <c r="E124" i="130"/>
  <c r="G124" i="130" s="1"/>
  <c r="G125" i="130"/>
  <c r="E130" i="130"/>
  <c r="G130" i="130" s="1"/>
  <c r="G131" i="130"/>
  <c r="E174" i="130"/>
  <c r="G174" i="130" s="1"/>
  <c r="G175" i="130"/>
  <c r="E11" i="130"/>
  <c r="G12" i="130"/>
  <c r="E31" i="130"/>
  <c r="G31" i="130" s="1"/>
  <c r="G32" i="130"/>
  <c r="E46" i="130"/>
  <c r="G46" i="130" s="1"/>
  <c r="G47" i="130"/>
  <c r="E90" i="130"/>
  <c r="G90" i="130" s="1"/>
  <c r="G91" i="130"/>
  <c r="E98" i="130"/>
  <c r="G99" i="130"/>
  <c r="E115" i="130"/>
  <c r="G116" i="130"/>
  <c r="E127" i="130"/>
  <c r="G127" i="130" s="1"/>
  <c r="G128" i="130"/>
  <c r="E160" i="130"/>
  <c r="G160" i="130" s="1"/>
  <c r="G161" i="130"/>
  <c r="E183" i="130"/>
  <c r="G183" i="130" s="1"/>
  <c r="G184" i="130"/>
  <c r="E198" i="130"/>
  <c r="G199" i="130"/>
  <c r="G203" i="130"/>
  <c r="G204" i="130"/>
  <c r="E202" i="130"/>
  <c r="G202" i="130" s="1"/>
  <c r="E80" i="130"/>
  <c r="G80" i="130" s="1"/>
  <c r="E164" i="130"/>
  <c r="E189" i="130"/>
  <c r="E50" i="130"/>
  <c r="E83" i="130"/>
  <c r="G83" i="130" s="1"/>
  <c r="E16" i="130"/>
  <c r="G16" i="130" s="1"/>
  <c r="E39" i="130"/>
  <c r="E77" i="130"/>
  <c r="E143" i="130"/>
  <c r="E156" i="130"/>
  <c r="E123" i="130"/>
  <c r="G123" i="130" s="1"/>
  <c r="E24" i="130"/>
  <c r="E15" i="130"/>
  <c r="G15" i="130" s="1"/>
  <c r="E173" i="130" l="1"/>
  <c r="G173" i="130" s="1"/>
  <c r="E14" i="130"/>
  <c r="G14" i="130" s="1"/>
  <c r="E87" i="130"/>
  <c r="E146" i="130"/>
  <c r="G146" i="130" s="1"/>
  <c r="G156" i="130"/>
  <c r="E59" i="130"/>
  <c r="G59" i="130" s="1"/>
  <c r="G77" i="130"/>
  <c r="E49" i="130"/>
  <c r="G49" i="130" s="1"/>
  <c r="G50" i="130"/>
  <c r="E159" i="130"/>
  <c r="G159" i="130" s="1"/>
  <c r="G164" i="130"/>
  <c r="E86" i="130"/>
  <c r="G86" i="130" s="1"/>
  <c r="G87" i="130"/>
  <c r="E197" i="130"/>
  <c r="G197" i="130" s="1"/>
  <c r="G198" i="130"/>
  <c r="E114" i="130"/>
  <c r="G115" i="130"/>
  <c r="E97" i="130"/>
  <c r="G98" i="130"/>
  <c r="E10" i="130"/>
  <c r="G10" i="130" s="1"/>
  <c r="G11" i="130"/>
  <c r="E119" i="130"/>
  <c r="G119" i="130" s="1"/>
  <c r="G120" i="130"/>
  <c r="E106" i="130"/>
  <c r="G106" i="130" s="1"/>
  <c r="G107" i="130"/>
  <c r="E23" i="130"/>
  <c r="G23" i="130" s="1"/>
  <c r="G24" i="130"/>
  <c r="E136" i="130"/>
  <c r="G136" i="130" s="1"/>
  <c r="G143" i="130"/>
  <c r="E35" i="130"/>
  <c r="G35" i="130" s="1"/>
  <c r="G39" i="130"/>
  <c r="E188" i="130"/>
  <c r="E187" i="130" s="1"/>
  <c r="E182" i="130" s="1"/>
  <c r="G189" i="130"/>
  <c r="E34" i="130"/>
  <c r="G34" i="130" s="1"/>
  <c r="E9" i="130" l="1"/>
  <c r="G9" i="130" s="1"/>
  <c r="G97" i="130"/>
  <c r="E96" i="130"/>
  <c r="G96" i="130" s="1"/>
  <c r="G114" i="130"/>
  <c r="E111" i="130"/>
  <c r="G111" i="130" s="1"/>
  <c r="E113" i="130"/>
  <c r="G113" i="130" s="1"/>
  <c r="G188" i="130"/>
  <c r="E118" i="130"/>
  <c r="E44" i="125"/>
  <c r="O44" i="125" s="1"/>
  <c r="E43" i="125"/>
  <c r="O43" i="125" s="1"/>
  <c r="D43" i="125"/>
  <c r="D41" i="125" s="1"/>
  <c r="L41" i="125"/>
  <c r="K41" i="125"/>
  <c r="J41" i="125"/>
  <c r="I41" i="125"/>
  <c r="H41" i="125"/>
  <c r="E40" i="125"/>
  <c r="O40" i="125" s="1"/>
  <c r="E39" i="125"/>
  <c r="O39" i="125" s="1"/>
  <c r="D39" i="125"/>
  <c r="D31" i="125"/>
  <c r="D30" i="125" s="1"/>
  <c r="D29" i="125" s="1"/>
  <c r="L35" i="125"/>
  <c r="K35" i="125"/>
  <c r="K34" i="125" s="1"/>
  <c r="K33" i="125" s="1"/>
  <c r="K32" i="125" s="1"/>
  <c r="J35" i="125"/>
  <c r="J34" i="125" s="1"/>
  <c r="J33" i="125" s="1"/>
  <c r="J32" i="125" s="1"/>
  <c r="I35" i="125"/>
  <c r="I34" i="125" s="1"/>
  <c r="I33" i="125" s="1"/>
  <c r="I32" i="125" s="1"/>
  <c r="H35" i="125"/>
  <c r="H34" i="125" s="1"/>
  <c r="H33" i="125" s="1"/>
  <c r="H32" i="125" s="1"/>
  <c r="F35" i="125"/>
  <c r="D35" i="125"/>
  <c r="E33" i="125"/>
  <c r="L31" i="125"/>
  <c r="F31" i="125"/>
  <c r="E30" i="125"/>
  <c r="L27" i="125"/>
  <c r="K27" i="125"/>
  <c r="K26" i="125" s="1"/>
  <c r="K21" i="125" s="1"/>
  <c r="J27" i="125"/>
  <c r="J26" i="125" s="1"/>
  <c r="I27" i="125"/>
  <c r="I26" i="125" s="1"/>
  <c r="H27" i="125"/>
  <c r="H26" i="125" s="1"/>
  <c r="F27" i="125"/>
  <c r="E26" i="125"/>
  <c r="O26" i="125" s="1"/>
  <c r="D26" i="125"/>
  <c r="D25" i="125" s="1"/>
  <c r="D24" i="125" s="1"/>
  <c r="L25" i="125"/>
  <c r="L24" i="125" s="1"/>
  <c r="L23" i="125" s="1"/>
  <c r="L22" i="125" s="1"/>
  <c r="J25" i="125"/>
  <c r="J24" i="125" s="1"/>
  <c r="J23" i="125" s="1"/>
  <c r="J22" i="125" s="1"/>
  <c r="J21" i="125" s="1"/>
  <c r="I25" i="125"/>
  <c r="I24" i="125" s="1"/>
  <c r="I23" i="125" s="1"/>
  <c r="I22" i="125" s="1"/>
  <c r="I21" i="125" s="1"/>
  <c r="H25" i="125"/>
  <c r="H24" i="125" s="1"/>
  <c r="H23" i="125" s="1"/>
  <c r="H22" i="125" s="1"/>
  <c r="H21" i="125" s="1"/>
  <c r="F25" i="125"/>
  <c r="E24" i="125"/>
  <c r="O24" i="125" s="1"/>
  <c r="L20" i="125"/>
  <c r="J20" i="125"/>
  <c r="J19" i="125" s="1"/>
  <c r="J18" i="125" s="1"/>
  <c r="I20" i="125"/>
  <c r="I19" i="125" s="1"/>
  <c r="I18" i="125" s="1"/>
  <c r="H20" i="125"/>
  <c r="H19" i="125" s="1"/>
  <c r="H18" i="125" s="1"/>
  <c r="F20" i="125"/>
  <c r="E19" i="125"/>
  <c r="O19" i="125" s="1"/>
  <c r="D19" i="125"/>
  <c r="D18" i="125" s="1"/>
  <c r="L17" i="125"/>
  <c r="M17" i="125" s="1"/>
  <c r="F17" i="125"/>
  <c r="G17" i="125" s="1"/>
  <c r="L16" i="125"/>
  <c r="L15" i="125" s="1"/>
  <c r="J16" i="125"/>
  <c r="J15" i="125" s="1"/>
  <c r="I16" i="125"/>
  <c r="I15" i="125" s="1"/>
  <c r="H16" i="125"/>
  <c r="H15" i="125" s="1"/>
  <c r="F16" i="125"/>
  <c r="E15" i="125"/>
  <c r="O15" i="125" s="1"/>
  <c r="D15" i="125"/>
  <c r="L14" i="125"/>
  <c r="M14" i="125" s="1"/>
  <c r="K14" i="125"/>
  <c r="K10" i="125" s="1"/>
  <c r="K9" i="125" s="1"/>
  <c r="K8" i="125" s="1"/>
  <c r="J14" i="125"/>
  <c r="I14" i="125"/>
  <c r="H14" i="125"/>
  <c r="F14" i="125"/>
  <c r="G14" i="125" s="1"/>
  <c r="E12" i="125"/>
  <c r="O12" i="125" s="1"/>
  <c r="L11" i="125"/>
  <c r="J11" i="125"/>
  <c r="J10" i="125" s="1"/>
  <c r="J9" i="125" s="1"/>
  <c r="J8" i="125" s="1"/>
  <c r="I11" i="125"/>
  <c r="I10" i="125" s="1"/>
  <c r="I9" i="125" s="1"/>
  <c r="I8" i="125" s="1"/>
  <c r="H11" i="125"/>
  <c r="H10" i="125" s="1"/>
  <c r="H9" i="125" s="1"/>
  <c r="H8" i="125" s="1"/>
  <c r="F11" i="125"/>
  <c r="F10" i="125" s="1"/>
  <c r="D10" i="125"/>
  <c r="G118" i="130" l="1"/>
  <c r="E110" i="130"/>
  <c r="G110" i="130" s="1"/>
  <c r="G187" i="130"/>
  <c r="I40" i="125"/>
  <c r="I39" i="125"/>
  <c r="I38" i="125" s="1"/>
  <c r="I37" i="125" s="1"/>
  <c r="K40" i="125"/>
  <c r="K39" i="125"/>
  <c r="K38" i="125" s="1"/>
  <c r="K37" i="125" s="1"/>
  <c r="H39" i="125"/>
  <c r="H38" i="125" s="1"/>
  <c r="H37" i="125" s="1"/>
  <c r="H50" i="125" s="1"/>
  <c r="H40" i="125"/>
  <c r="J39" i="125"/>
  <c r="J38" i="125" s="1"/>
  <c r="J37" i="125" s="1"/>
  <c r="J40" i="125"/>
  <c r="M41" i="125"/>
  <c r="L39" i="125"/>
  <c r="L38" i="125" s="1"/>
  <c r="L37" i="125" s="1"/>
  <c r="L40" i="125"/>
  <c r="I50" i="125"/>
  <c r="K50" i="125"/>
  <c r="J50" i="125"/>
  <c r="M35" i="125"/>
  <c r="M34" i="125" s="1"/>
  <c r="M33" i="125" s="1"/>
  <c r="M32" i="125" s="1"/>
  <c r="L34" i="125"/>
  <c r="L33" i="125" s="1"/>
  <c r="L32" i="125" s="1"/>
  <c r="G35" i="125"/>
  <c r="G34" i="125" s="1"/>
  <c r="G33" i="125" s="1"/>
  <c r="G32" i="125" s="1"/>
  <c r="F34" i="125"/>
  <c r="F33" i="125" s="1"/>
  <c r="F32" i="125" s="1"/>
  <c r="E29" i="125"/>
  <c r="O30" i="125"/>
  <c r="M31" i="125"/>
  <c r="M30" i="125" s="1"/>
  <c r="M29" i="125" s="1"/>
  <c r="M28" i="125" s="1"/>
  <c r="L30" i="125"/>
  <c r="L29" i="125" s="1"/>
  <c r="L28" i="125" s="1"/>
  <c r="G31" i="125"/>
  <c r="G30" i="125" s="1"/>
  <c r="G29" i="125" s="1"/>
  <c r="G28" i="125" s="1"/>
  <c r="F30" i="125"/>
  <c r="F29" i="125" s="1"/>
  <c r="F28" i="125" s="1"/>
  <c r="G27" i="125"/>
  <c r="G26" i="125" s="1"/>
  <c r="F26" i="125"/>
  <c r="G25" i="125"/>
  <c r="G24" i="125" s="1"/>
  <c r="G23" i="125" s="1"/>
  <c r="G22" i="125" s="1"/>
  <c r="G21" i="125" s="1"/>
  <c r="F24" i="125"/>
  <c r="F23" i="125" s="1"/>
  <c r="F22" i="125" s="1"/>
  <c r="F21" i="125" s="1"/>
  <c r="M27" i="125"/>
  <c r="M26" i="125" s="1"/>
  <c r="L26" i="125"/>
  <c r="L21" i="125" s="1"/>
  <c r="G20" i="125"/>
  <c r="G19" i="125" s="1"/>
  <c r="G18" i="125" s="1"/>
  <c r="F19" i="125"/>
  <c r="F18" i="125" s="1"/>
  <c r="M20" i="125"/>
  <c r="M19" i="125" s="1"/>
  <c r="M18" i="125" s="1"/>
  <c r="L19" i="125"/>
  <c r="L18" i="125" s="1"/>
  <c r="M11" i="125"/>
  <c r="M10" i="125" s="1"/>
  <c r="L10" i="125"/>
  <c r="L9" i="125" s="1"/>
  <c r="G16" i="125"/>
  <c r="G15" i="125" s="1"/>
  <c r="F15" i="125"/>
  <c r="F9" i="125"/>
  <c r="E32" i="125"/>
  <c r="O32" i="125" s="1"/>
  <c r="O33" i="125"/>
  <c r="E18" i="125"/>
  <c r="O18" i="125" s="1"/>
  <c r="D34" i="125"/>
  <c r="D33" i="125" s="1"/>
  <c r="E42" i="125"/>
  <c r="G11" i="125"/>
  <c r="G10" i="125" s="1"/>
  <c r="G9" i="125" s="1"/>
  <c r="G8" i="125" s="1"/>
  <c r="G50" i="125" s="1"/>
  <c r="M25" i="125"/>
  <c r="M24" i="125" s="1"/>
  <c r="M23" i="125" s="1"/>
  <c r="M22" i="125" s="1"/>
  <c r="M21" i="125" s="1"/>
  <c r="M16" i="125"/>
  <c r="M15" i="125" s="1"/>
  <c r="E23" i="125"/>
  <c r="O23" i="125" s="1"/>
  <c r="D9" i="125"/>
  <c r="D8" i="125" s="1"/>
  <c r="G182" i="130" l="1"/>
  <c r="E207" i="130"/>
  <c r="G207" i="130" s="1"/>
  <c r="E38" i="125"/>
  <c r="O38" i="125" s="1"/>
  <c r="O42" i="125"/>
  <c r="M40" i="125"/>
  <c r="M39" i="125"/>
  <c r="M38" i="125" s="1"/>
  <c r="M37" i="125" s="1"/>
  <c r="D47" i="125"/>
  <c r="D49" i="125" s="1"/>
  <c r="E28" i="125"/>
  <c r="O28" i="125" s="1"/>
  <c r="O29" i="125"/>
  <c r="L8" i="125"/>
  <c r="L50" i="125" s="1"/>
  <c r="F8" i="125"/>
  <c r="F50" i="125" s="1"/>
  <c r="M9" i="125"/>
  <c r="M8" i="125" s="1"/>
  <c r="M50" i="125" s="1"/>
  <c r="E37" i="125"/>
  <c r="O37" i="125" s="1"/>
  <c r="E9" i="125"/>
  <c r="O9" i="125" s="1"/>
  <c r="E22" i="125"/>
  <c r="D50" i="125" l="1"/>
  <c r="E21" i="125"/>
  <c r="O21" i="125" s="1"/>
  <c r="O22" i="125"/>
  <c r="E8" i="125"/>
  <c r="E50" i="125" l="1"/>
  <c r="O50" i="125" s="1"/>
  <c r="O8" i="125"/>
  <c r="J58" i="75" l="1"/>
  <c r="J23" i="75" l="1"/>
  <c r="J46" i="75" l="1"/>
  <c r="J31" i="75"/>
  <c r="J14" i="75"/>
  <c r="J62" i="75" l="1"/>
  <c r="K42" i="75"/>
  <c r="L42" i="75" s="1"/>
  <c r="L41" i="75" s="1"/>
  <c r="L40" i="75" s="1"/>
  <c r="L39" i="75" s="1"/>
  <c r="J41" i="75"/>
  <c r="J40" i="75" s="1"/>
  <c r="I41" i="75"/>
  <c r="H41" i="75"/>
  <c r="G41" i="75"/>
  <c r="I40" i="75"/>
  <c r="H40" i="75"/>
  <c r="G40" i="75"/>
  <c r="I39" i="75"/>
  <c r="H39" i="75"/>
  <c r="G39" i="75"/>
  <c r="K41" i="75" l="1"/>
  <c r="K40" i="75" s="1"/>
  <c r="K39" i="75" s="1"/>
  <c r="O32" i="75"/>
  <c r="N32" i="75"/>
  <c r="M32" i="75"/>
  <c r="O23" i="75"/>
  <c r="N23" i="75"/>
  <c r="M23" i="75"/>
  <c r="O19" i="75"/>
  <c r="N19" i="75"/>
  <c r="M19" i="75"/>
  <c r="P14" i="75"/>
  <c r="O15" i="75"/>
  <c r="O14" i="75" s="1"/>
  <c r="N15" i="75"/>
  <c r="N14" i="75" s="1"/>
  <c r="M15" i="75"/>
  <c r="M14" i="75" s="1"/>
  <c r="O12" i="75"/>
  <c r="M12" i="75"/>
  <c r="N12" i="75"/>
  <c r="P18" i="75" l="1"/>
  <c r="O18" i="75"/>
  <c r="N18" i="75"/>
  <c r="M18" i="75"/>
  <c r="P31" i="75"/>
  <c r="P30" i="75" s="1"/>
  <c r="P29" i="75" s="1"/>
  <c r="O31" i="75"/>
  <c r="O30" i="75" s="1"/>
  <c r="O29" i="75" s="1"/>
  <c r="N31" i="75"/>
  <c r="N30" i="75" s="1"/>
  <c r="N29" i="75" s="1"/>
  <c r="M31" i="75"/>
  <c r="M30" i="75" s="1"/>
  <c r="M29" i="75" s="1"/>
  <c r="P22" i="75"/>
  <c r="O22" i="75"/>
  <c r="N22" i="75"/>
  <c r="M22" i="75"/>
  <c r="P21" i="75"/>
  <c r="O21" i="75"/>
  <c r="N21" i="75"/>
  <c r="M21" i="75"/>
  <c r="P64" i="75"/>
  <c r="O64" i="75"/>
  <c r="N64" i="75"/>
  <c r="M64" i="75"/>
  <c r="P63" i="75"/>
  <c r="P62" i="75" s="1"/>
  <c r="O63" i="75"/>
  <c r="O62" i="75" s="1"/>
  <c r="N63" i="75"/>
  <c r="N62" i="75" s="1"/>
  <c r="M63" i="75"/>
  <c r="M62" i="75" s="1"/>
  <c r="P60" i="75"/>
  <c r="O60" i="75"/>
  <c r="N60" i="75"/>
  <c r="M60" i="75"/>
  <c r="P59" i="75"/>
  <c r="O59" i="75"/>
  <c r="N59" i="75"/>
  <c r="M59" i="75"/>
  <c r="P58" i="75"/>
  <c r="P57" i="75" s="1"/>
  <c r="O58" i="75"/>
  <c r="O57" i="75" s="1"/>
  <c r="N58" i="75"/>
  <c r="N57" i="75" s="1"/>
  <c r="M58" i="75"/>
  <c r="M57" i="75" s="1"/>
  <c r="P52" i="75"/>
  <c r="P51" i="75" s="1"/>
  <c r="O52" i="75"/>
  <c r="O51" i="75" s="1"/>
  <c r="N52" i="75"/>
  <c r="N51" i="75" s="1"/>
  <c r="M52" i="75"/>
  <c r="M51" i="75" s="1"/>
  <c r="P46" i="75"/>
  <c r="P45" i="75" s="1"/>
  <c r="P44" i="75" s="1"/>
  <c r="P43" i="75" s="1"/>
  <c r="O46" i="75"/>
  <c r="O45" i="75" s="1"/>
  <c r="O44" i="75" s="1"/>
  <c r="O43" i="75" s="1"/>
  <c r="N46" i="75"/>
  <c r="N45" i="75" s="1"/>
  <c r="N44" i="75" s="1"/>
  <c r="N43" i="75" s="1"/>
  <c r="M46" i="75"/>
  <c r="M45" i="75" s="1"/>
  <c r="M44" i="75" s="1"/>
  <c r="M43" i="75" s="1"/>
  <c r="P34" i="75"/>
  <c r="P33" i="75" s="1"/>
  <c r="O34" i="75"/>
  <c r="O33" i="75" s="1"/>
  <c r="N34" i="75"/>
  <c r="N33" i="75" s="1"/>
  <c r="M34" i="75"/>
  <c r="M33" i="75" s="1"/>
  <c r="P17" i="75"/>
  <c r="P11" i="75" s="1"/>
  <c r="P10" i="75" s="1"/>
  <c r="O17" i="75"/>
  <c r="N17" i="75"/>
  <c r="N11" i="75" s="1"/>
  <c r="N10" i="75" s="1"/>
  <c r="M17" i="75"/>
  <c r="O11" i="75"/>
  <c r="O10" i="75" s="1"/>
  <c r="M11" i="75"/>
  <c r="M10" i="75" s="1"/>
  <c r="O24" i="75" l="1"/>
  <c r="N24" i="75"/>
  <c r="N9" i="75" s="1"/>
  <c r="N61" i="75"/>
  <c r="N56" i="75" s="1"/>
  <c r="P61" i="75"/>
  <c r="P56" i="75" s="1"/>
  <c r="M61" i="75"/>
  <c r="M56" i="75" s="1"/>
  <c r="O61" i="75"/>
  <c r="O56" i="75" s="1"/>
  <c r="N50" i="75"/>
  <c r="P50" i="75"/>
  <c r="M50" i="75"/>
  <c r="O50" i="75"/>
  <c r="P24" i="75"/>
  <c r="O9" i="75"/>
  <c r="M24" i="75"/>
  <c r="P9" i="75"/>
  <c r="M9" i="75"/>
  <c r="M49" i="75" l="1"/>
  <c r="M48" i="75" s="1"/>
  <c r="N49" i="75"/>
  <c r="N48" i="75" s="1"/>
  <c r="N65" i="75" s="1"/>
  <c r="M65" i="75"/>
  <c r="O49" i="75"/>
  <c r="O48" i="75" s="1"/>
  <c r="O65" i="75" s="1"/>
  <c r="P49" i="75"/>
  <c r="P48" i="75" s="1"/>
  <c r="P65" i="75" s="1"/>
  <c r="L66" i="75" l="1"/>
  <c r="K66" i="75"/>
  <c r="I66" i="75"/>
  <c r="H66" i="75"/>
  <c r="G66" i="75"/>
  <c r="I63" i="75"/>
  <c r="L62" i="75"/>
  <c r="K62" i="75"/>
  <c r="I62" i="75"/>
  <c r="H62" i="75"/>
  <c r="G62" i="75"/>
  <c r="F62" i="75"/>
  <c r="E62" i="75"/>
  <c r="L61" i="75"/>
  <c r="K61" i="75"/>
  <c r="J61" i="75"/>
  <c r="I61" i="75"/>
  <c r="H61" i="75"/>
  <c r="G61" i="75"/>
  <c r="L58" i="75"/>
  <c r="L57" i="75" s="1"/>
  <c r="L56" i="75" s="1"/>
  <c r="K58" i="75"/>
  <c r="I58" i="75"/>
  <c r="H58" i="75"/>
  <c r="G58" i="75"/>
  <c r="G57" i="75" s="1"/>
  <c r="G56" i="75" s="1"/>
  <c r="K57" i="75"/>
  <c r="K56" i="75" s="1"/>
  <c r="J57" i="75"/>
  <c r="J56" i="75" s="1"/>
  <c r="H57" i="75"/>
  <c r="I57" i="75" s="1"/>
  <c r="I56" i="75" s="1"/>
  <c r="F57" i="75"/>
  <c r="E57" i="75"/>
  <c r="D57" i="75"/>
  <c r="L54" i="75"/>
  <c r="K54" i="75"/>
  <c r="K53" i="75" s="1"/>
  <c r="J54" i="75"/>
  <c r="I54" i="75"/>
  <c r="I53" i="75" s="1"/>
  <c r="H54" i="75"/>
  <c r="H53" i="75" s="1"/>
  <c r="G54" i="75"/>
  <c r="G53" i="75" s="1"/>
  <c r="F54" i="75"/>
  <c r="E54" i="75"/>
  <c r="E53" i="75" s="1"/>
  <c r="E52" i="75" s="1"/>
  <c r="D54" i="75"/>
  <c r="D53" i="75" s="1"/>
  <c r="D52" i="75" s="1"/>
  <c r="L53" i="75"/>
  <c r="J53" i="75"/>
  <c r="F53" i="75"/>
  <c r="F52" i="75" s="1"/>
  <c r="I52" i="75"/>
  <c r="L51" i="75"/>
  <c r="K51" i="75"/>
  <c r="J51" i="75"/>
  <c r="H51" i="75"/>
  <c r="I51" i="75" s="1"/>
  <c r="G51" i="75"/>
  <c r="L50" i="75"/>
  <c r="K50" i="75"/>
  <c r="J50" i="75"/>
  <c r="H50" i="75"/>
  <c r="I50" i="75" s="1"/>
  <c r="I49" i="75" s="1"/>
  <c r="I48" i="75" s="1"/>
  <c r="G50" i="75"/>
  <c r="F50" i="75"/>
  <c r="E50" i="75"/>
  <c r="D50" i="75"/>
  <c r="K47" i="75"/>
  <c r="F47" i="75"/>
  <c r="F42" i="75" s="1"/>
  <c r="F41" i="75" s="1"/>
  <c r="F40" i="75" s="1"/>
  <c r="E47" i="75"/>
  <c r="E42" i="75" s="1"/>
  <c r="E41" i="75" s="1"/>
  <c r="E40" i="75" s="1"/>
  <c r="D47" i="75"/>
  <c r="D42" i="75" s="1"/>
  <c r="D41" i="75" s="1"/>
  <c r="D40" i="75" s="1"/>
  <c r="K46" i="75"/>
  <c r="L46" i="75" s="1"/>
  <c r="F46" i="75"/>
  <c r="E46" i="75"/>
  <c r="D46" i="75"/>
  <c r="I45" i="75"/>
  <c r="I44" i="75" s="1"/>
  <c r="I43" i="75" s="1"/>
  <c r="H45" i="75"/>
  <c r="G45" i="75"/>
  <c r="G44" i="75" s="1"/>
  <c r="G43" i="75" s="1"/>
  <c r="H44" i="75"/>
  <c r="H43" i="75" s="1"/>
  <c r="I38" i="75"/>
  <c r="J38" i="75" s="1"/>
  <c r="K38" i="75" s="1"/>
  <c r="L38" i="75" s="1"/>
  <c r="F38" i="75"/>
  <c r="I37" i="75"/>
  <c r="J37" i="75" s="1"/>
  <c r="K37" i="75" s="1"/>
  <c r="L37" i="75" s="1"/>
  <c r="G37" i="75"/>
  <c r="G36" i="75" s="1"/>
  <c r="G35" i="75" s="1"/>
  <c r="F37" i="75"/>
  <c r="F36" i="75" s="1"/>
  <c r="F35" i="75" s="1"/>
  <c r="D37" i="75"/>
  <c r="D36" i="75" s="1"/>
  <c r="D35" i="75" s="1"/>
  <c r="I36" i="75"/>
  <c r="J36" i="75" s="1"/>
  <c r="K36" i="75" s="1"/>
  <c r="L36" i="75" s="1"/>
  <c r="E36" i="75"/>
  <c r="H35" i="75"/>
  <c r="I35" i="75" s="1"/>
  <c r="J35" i="75" s="1"/>
  <c r="K35" i="75" s="1"/>
  <c r="L35" i="75" s="1"/>
  <c r="E35" i="75"/>
  <c r="K34" i="75"/>
  <c r="I33" i="75"/>
  <c r="H33" i="75"/>
  <c r="G33" i="75"/>
  <c r="E33" i="75"/>
  <c r="D33" i="75"/>
  <c r="D32" i="75" s="1"/>
  <c r="D31" i="75" s="1"/>
  <c r="K32" i="75"/>
  <c r="L32" i="75" s="1"/>
  <c r="G32" i="75"/>
  <c r="G31" i="75" s="1"/>
  <c r="G30" i="75" s="1"/>
  <c r="G29" i="75" s="1"/>
  <c r="G24" i="75" s="1"/>
  <c r="F32" i="75"/>
  <c r="F31" i="75" s="1"/>
  <c r="E32" i="75"/>
  <c r="E31" i="75" s="1"/>
  <c r="K31" i="75"/>
  <c r="L31" i="75" s="1"/>
  <c r="I31" i="75"/>
  <c r="H31" i="75"/>
  <c r="H30" i="75" s="1"/>
  <c r="H29" i="75" s="1"/>
  <c r="H24" i="75" s="1"/>
  <c r="I30" i="75"/>
  <c r="I29" i="75" s="1"/>
  <c r="I24" i="75" s="1"/>
  <c r="F30" i="75"/>
  <c r="H28" i="75"/>
  <c r="I28" i="75" s="1"/>
  <c r="J28" i="75" s="1"/>
  <c r="K28" i="75" s="1"/>
  <c r="L28" i="75" s="1"/>
  <c r="M28" i="75" s="1"/>
  <c r="N28" i="75" s="1"/>
  <c r="O28" i="75" s="1"/>
  <c r="P28" i="75" s="1"/>
  <c r="F28" i="75"/>
  <c r="H27" i="75"/>
  <c r="I27" i="75" s="1"/>
  <c r="J27" i="75" s="1"/>
  <c r="K27" i="75" s="1"/>
  <c r="L27" i="75" s="1"/>
  <c r="M27" i="75" s="1"/>
  <c r="N27" i="75" s="1"/>
  <c r="O27" i="75" s="1"/>
  <c r="P27" i="75" s="1"/>
  <c r="F27" i="75"/>
  <c r="D27" i="75"/>
  <c r="F26" i="75"/>
  <c r="E26" i="75"/>
  <c r="D26" i="75"/>
  <c r="F25" i="75"/>
  <c r="F24" i="75" s="1"/>
  <c r="E25" i="75"/>
  <c r="D25" i="75"/>
  <c r="D24" i="75" s="1"/>
  <c r="E24" i="75"/>
  <c r="K23" i="75"/>
  <c r="L23" i="75" s="1"/>
  <c r="F23" i="75"/>
  <c r="J22" i="75"/>
  <c r="K22" i="75" s="1"/>
  <c r="I22" i="75"/>
  <c r="H22" i="75"/>
  <c r="G22" i="75"/>
  <c r="F22" i="75"/>
  <c r="D22" i="75"/>
  <c r="J21" i="75"/>
  <c r="I21" i="75"/>
  <c r="H21" i="75"/>
  <c r="G21" i="75"/>
  <c r="F21" i="75"/>
  <c r="E21" i="75"/>
  <c r="D21" i="75"/>
  <c r="I20" i="75"/>
  <c r="K20" i="75" s="1"/>
  <c r="L20" i="75" s="1"/>
  <c r="F20" i="75"/>
  <c r="I19" i="75"/>
  <c r="K19" i="75" s="1"/>
  <c r="L19" i="75" s="1"/>
  <c r="F19" i="75"/>
  <c r="H18" i="75"/>
  <c r="I18" i="75" s="1"/>
  <c r="G18" i="75"/>
  <c r="E18" i="75"/>
  <c r="F18" i="75" s="1"/>
  <c r="D18" i="75"/>
  <c r="I17" i="75"/>
  <c r="K17" i="75" s="1"/>
  <c r="L17" i="75" s="1"/>
  <c r="I16" i="75"/>
  <c r="J16" i="75" s="1"/>
  <c r="K16" i="75" s="1"/>
  <c r="L16" i="75" s="1"/>
  <c r="I15" i="75"/>
  <c r="K15" i="75" s="1"/>
  <c r="L15" i="75" s="1"/>
  <c r="F15" i="75"/>
  <c r="I14" i="75"/>
  <c r="H14" i="75"/>
  <c r="G14" i="75"/>
  <c r="I13" i="75"/>
  <c r="J13" i="75" s="1"/>
  <c r="J11" i="75" s="1"/>
  <c r="F13" i="75"/>
  <c r="K12" i="75"/>
  <c r="F12" i="75"/>
  <c r="H11" i="75"/>
  <c r="H10" i="75" s="1"/>
  <c r="G11" i="75"/>
  <c r="E11" i="75"/>
  <c r="D11" i="75"/>
  <c r="D10" i="75" s="1"/>
  <c r="G10" i="75"/>
  <c r="G9" i="75" s="1"/>
  <c r="F45" i="75" l="1"/>
  <c r="F44" i="75" s="1"/>
  <c r="F11" i="75"/>
  <c r="F10" i="75" s="1"/>
  <c r="E10" i="75"/>
  <c r="E9" i="75" s="1"/>
  <c r="J49" i="75"/>
  <c r="J48" i="75" s="1"/>
  <c r="D45" i="75"/>
  <c r="D44" i="75" s="1"/>
  <c r="E45" i="75"/>
  <c r="E44" i="75" s="1"/>
  <c r="E61" i="75" s="1"/>
  <c r="E65" i="75" s="1"/>
  <c r="G49" i="75"/>
  <c r="G48" i="75" s="1"/>
  <c r="G65" i="75" s="1"/>
  <c r="K49" i="75"/>
  <c r="K48" i="75" s="1"/>
  <c r="L49" i="75"/>
  <c r="L48" i="75" s="1"/>
  <c r="K21" i="75"/>
  <c r="L22" i="75"/>
  <c r="L21" i="75" s="1"/>
  <c r="L47" i="75"/>
  <c r="L45" i="75" s="1"/>
  <c r="L44" i="75" s="1"/>
  <c r="L43" i="75" s="1"/>
  <c r="K45" i="75"/>
  <c r="K44" i="75" s="1"/>
  <c r="K43" i="75" s="1"/>
  <c r="L12" i="75"/>
  <c r="K13" i="75"/>
  <c r="L13" i="75" s="1"/>
  <c r="L34" i="75"/>
  <c r="L33" i="75" s="1"/>
  <c r="K33" i="75"/>
  <c r="D9" i="75"/>
  <c r="D61" i="75" s="1"/>
  <c r="F9" i="75"/>
  <c r="F61" i="75" s="1"/>
  <c r="H9" i="75"/>
  <c r="I11" i="75"/>
  <c r="I10" i="75" s="1"/>
  <c r="I9" i="75" s="1"/>
  <c r="I65" i="75" s="1"/>
  <c r="K14" i="75"/>
  <c r="L14" i="75" s="1"/>
  <c r="J18" i="75"/>
  <c r="K18" i="75" s="1"/>
  <c r="L18" i="75" s="1"/>
  <c r="H26" i="75"/>
  <c r="J30" i="75"/>
  <c r="J33" i="75"/>
  <c r="J45" i="75"/>
  <c r="J44" i="75" s="1"/>
  <c r="H56" i="75"/>
  <c r="H49" i="75" s="1"/>
  <c r="H48" i="75" s="1"/>
  <c r="J10" i="75" l="1"/>
  <c r="J43" i="75"/>
  <c r="J39" i="75"/>
  <c r="E63" i="75"/>
  <c r="G67" i="75"/>
  <c r="G69" i="75"/>
  <c r="L11" i="75"/>
  <c r="L10" i="75" s="1"/>
  <c r="H25" i="75"/>
  <c r="I25" i="75" s="1"/>
  <c r="J25" i="75" s="1"/>
  <c r="K25" i="75" s="1"/>
  <c r="L25" i="75" s="1"/>
  <c r="M25" i="75" s="1"/>
  <c r="N25" i="75" s="1"/>
  <c r="O25" i="75" s="1"/>
  <c r="P25" i="75" s="1"/>
  <c r="I26" i="75"/>
  <c r="J26" i="75" s="1"/>
  <c r="K26" i="75" s="1"/>
  <c r="L26" i="75" s="1"/>
  <c r="M26" i="75" s="1"/>
  <c r="N26" i="75" s="1"/>
  <c r="O26" i="75" s="1"/>
  <c r="P26" i="75" s="1"/>
  <c r="D65" i="75"/>
  <c r="D63" i="75"/>
  <c r="K30" i="75"/>
  <c r="L30" i="75" s="1"/>
  <c r="J29" i="75"/>
  <c r="I69" i="75"/>
  <c r="I67" i="75"/>
  <c r="F65" i="75"/>
  <c r="F63" i="75"/>
  <c r="H65" i="75"/>
  <c r="K11" i="75"/>
  <c r="K10" i="75" s="1"/>
  <c r="K29" i="75" l="1"/>
  <c r="J24" i="75"/>
  <c r="J9" i="75" s="1"/>
  <c r="H69" i="75"/>
  <c r="H67" i="75"/>
  <c r="R40" i="75" l="1"/>
  <c r="L29" i="75"/>
  <c r="L24" i="75" s="1"/>
  <c r="L9" i="75" s="1"/>
  <c r="L65" i="75" s="1"/>
  <c r="K24" i="75"/>
  <c r="K9" i="75" s="1"/>
  <c r="K65" i="75" s="1"/>
  <c r="J65" i="75" l="1"/>
  <c r="L69" i="75"/>
  <c r="L67" i="75"/>
  <c r="K69" i="75"/>
  <c r="K67" i="75"/>
  <c r="J72" i="75" l="1"/>
  <c r="J73" i="75" s="1"/>
  <c r="J69" i="75"/>
  <c r="J66" i="75"/>
  <c r="J67" i="75" s="1"/>
  <c r="H55" i="59" l="1"/>
  <c r="B49" i="59"/>
  <c r="H49" i="59" s="1"/>
  <c r="G30" i="59"/>
  <c r="H21" i="59"/>
  <c r="E22" i="59"/>
  <c r="H22" i="59" s="1"/>
  <c r="D25" i="59"/>
  <c r="H23" i="59"/>
  <c r="H41" i="59"/>
  <c r="H40" i="59" s="1"/>
  <c r="H42" i="59"/>
  <c r="H8" i="59"/>
  <c r="B9" i="59"/>
  <c r="H7" i="59"/>
  <c r="H6" i="59"/>
  <c r="H4" i="59"/>
  <c r="H63" i="59"/>
  <c r="H61" i="59"/>
  <c r="H53" i="59"/>
  <c r="H30" i="59"/>
  <c r="H31" i="59" s="1"/>
  <c r="J31" i="59" s="1"/>
  <c r="H65" i="59"/>
  <c r="J65" i="59"/>
  <c r="J63" i="59"/>
  <c r="J61" i="59"/>
  <c r="B58" i="59"/>
  <c r="H58" i="59"/>
  <c r="H57" i="59"/>
  <c r="H56" i="59"/>
  <c r="H54" i="59"/>
  <c r="B52" i="59"/>
  <c r="H52" i="59" s="1"/>
  <c r="H59" i="59" s="1"/>
  <c r="B48" i="59"/>
  <c r="H48" i="59" s="1"/>
  <c r="J50" i="59"/>
  <c r="H45" i="59"/>
  <c r="H44" i="59"/>
  <c r="J46" i="59"/>
  <c r="H37" i="59"/>
  <c r="H36" i="59"/>
  <c r="H38" i="59" s="1"/>
  <c r="H35" i="59"/>
  <c r="H25" i="59"/>
  <c r="H24" i="59"/>
  <c r="H20" i="59"/>
  <c r="H19" i="59"/>
  <c r="H18" i="59"/>
  <c r="H15" i="59"/>
  <c r="H16" i="59" s="1"/>
  <c r="J38" i="59"/>
  <c r="J59" i="59"/>
  <c r="J66" i="59"/>
  <c r="H5" i="59"/>
  <c r="H9" i="59"/>
  <c r="H10" i="59" s="1"/>
  <c r="J10" i="59" s="1"/>
  <c r="J5" i="59"/>
  <c r="H50" i="59" l="1"/>
  <c r="H29" i="59"/>
  <c r="H26" i="59"/>
  <c r="H27" i="59" s="1"/>
  <c r="J27" i="59" s="1"/>
  <c r="J62" i="59"/>
  <c r="H46" i="59"/>
  <c r="J16" i="59"/>
  <c r="H33" i="59"/>
  <c r="J68" i="59"/>
  <c r="J70" i="59" s="1"/>
  <c r="J72" i="59" s="1"/>
  <c r="H32" i="59" l="1"/>
  <c r="J33" i="59" s="1"/>
</calcChain>
</file>

<file path=xl/sharedStrings.xml><?xml version="1.0" encoding="utf-8"?>
<sst xmlns="http://schemas.openxmlformats.org/spreadsheetml/2006/main" count="2140" uniqueCount="632">
  <si>
    <t>№ п/п</t>
  </si>
  <si>
    <t>Источники доходов</t>
  </si>
  <si>
    <t>I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</si>
  <si>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</si>
  <si>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</si>
  <si>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</si>
  <si>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</si>
  <si>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</si>
  <si>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</si>
  <si>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</si>
  <si>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</si>
  <si>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</si>
  <si>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</si>
  <si>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</si>
  <si>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</si>
  <si>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</si>
  <si>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</si>
  <si>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</si>
  <si>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</si>
  <si>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</si>
  <si>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</si>
  <si>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</si>
  <si>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</si>
  <si>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</si>
  <si>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</si>
  <si>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</si>
  <si>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</si>
  <si>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</si>
  <si>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</si>
  <si>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</si>
  <si>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</si>
  <si>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</si>
  <si>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</si>
  <si>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</si>
  <si>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</si>
  <si>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</si>
  <si>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</si>
  <si>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</si>
  <si>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</si>
  <si>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</si>
  <si>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</si>
  <si>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</si>
  <si>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</si>
  <si>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</si>
  <si>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</si>
  <si>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</si>
  <si>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</si>
  <si>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</si>
  <si>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</si>
  <si>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</si>
  <si>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</si>
  <si>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</si>
  <si>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</si>
  <si>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</si>
  <si>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</si>
  <si>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</si>
  <si>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</si>
  <si>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</si>
  <si>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</si>
  <si>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</si>
  <si>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</si>
  <si>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</si>
  <si>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</si>
  <si>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</si>
  <si>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</si>
  <si>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</si>
  <si>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</si>
  <si>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</si>
  <si>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</si>
  <si>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</si>
  <si>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</si>
  <si>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</si>
  <si>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</si>
  <si>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</si>
  <si>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</si>
  <si>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</si>
  <si>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</si>
  <si>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</si>
  <si>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</si>
  <si>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</si>
  <si>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</si>
  <si>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</si>
  <si>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</si>
  <si>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</si>
  <si>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</si>
  <si>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</si>
  <si>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</si>
  <si>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</si>
  <si>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</si>
  <si>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</si>
  <si>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</si>
  <si>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</si>
  <si>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</si>
  <si>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</si>
  <si>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</si>
  <si>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</si>
  <si>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</si>
  <si>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</si>
  <si>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</si>
  <si>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</si>
  <si>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</si>
  <si>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</si>
  <si>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</si>
  <si>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</si>
  <si>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</si>
  <si>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</si>
  <si>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</si>
  <si>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</si>
  <si>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</si>
  <si>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</si>
  <si>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</si>
  <si>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</si>
  <si>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</si>
  <si>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</si>
  <si>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</si>
  <si>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</si>
  <si>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</si>
  <si>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</si>
  <si>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</si>
  <si>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</si>
  <si>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</si>
  <si>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</si>
  <si>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</si>
  <si>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</si>
  <si>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</si>
  <si>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</si>
  <si>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</si>
  <si>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Молодежная политика и оздоровление детей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</si>
  <si>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</si>
  <si>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</si>
  <si>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</si>
  <si>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</si>
  <si>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</si>
  <si>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</si>
  <si>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</si>
  <si>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</si>
  <si>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</si>
  <si>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</si>
  <si>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</si>
  <si>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</si>
  <si>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</si>
  <si>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</si>
  <si>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</si>
  <si>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</si>
  <si>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</si>
  <si>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</si>
  <si>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</si>
  <si>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</si>
  <si>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</si>
  <si>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</si>
  <si>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</si>
  <si>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</si>
  <si>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</si>
  <si>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</si>
  <si>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</si>
  <si>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</si>
  <si>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</si>
  <si>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</si>
  <si>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</si>
  <si>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</si>
  <si>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</si>
  <si>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</si>
  <si>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</si>
  <si>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</si>
  <si>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</si>
  <si>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</si>
  <si>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Обеспечение своевременного оповещенияи информирования населения об угрозе возникновения или о возникновении ЧС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</si>
  <si>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</si>
  <si>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</si>
  <si>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</si>
  <si>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</si>
  <si>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</si>
  <si>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</si>
  <si>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</si>
  <si>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</si>
  <si>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</si>
  <si>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</si>
  <si>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</si>
  <si>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</si>
  <si>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</si>
  <si>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090 01 00</t>
  </si>
  <si>
    <t>219 02 00</t>
  </si>
  <si>
    <t>431 02 00</t>
  </si>
  <si>
    <t>Организация и проведение досуговых мероприятий для детей и подростков,проживающих на   территории муниципального образования</t>
  </si>
  <si>
    <t>600 01 00</t>
  </si>
  <si>
    <t>Защита населения и территорий от  чрезвычайных ситуаций природного и техногенного характера, гражданская оборона</t>
  </si>
  <si>
    <t>0111</t>
  </si>
  <si>
    <t>0113</t>
  </si>
  <si>
    <t>600 01 01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</si>
  <si>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</si>
  <si>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</si>
  <si>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</si>
  <si>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</si>
  <si>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</si>
  <si>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</si>
  <si>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</si>
  <si>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</si>
  <si>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</si>
  <si>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</si>
  <si>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</si>
  <si>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</si>
  <si>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</si>
  <si>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</si>
  <si>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</si>
  <si>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</si>
  <si>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</si>
  <si>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</si>
  <si>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</si>
  <si>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</si>
  <si>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</si>
  <si>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</si>
  <si>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</si>
  <si>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</si>
  <si>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</si>
  <si>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</si>
  <si>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</si>
  <si>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</si>
  <si>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</si>
  <si>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</si>
  <si>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Исполнение  на 1.09.11</t>
  </si>
  <si>
    <t>000 2 02 02000 00 0000 151</t>
  </si>
  <si>
    <t>000 2 02 02999 00 0000 151</t>
  </si>
  <si>
    <t>Прочие субсидии</t>
  </si>
  <si>
    <t>3.1.2</t>
  </si>
  <si>
    <t>599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</si>
  <si>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</si>
  <si>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</si>
  <si>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</si>
  <si>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 xml:space="preserve">Выполнение мероприятий по решению вопросов местного значения за счет субсидий из фонда софинансирования расходов местных бюджетов </t>
  </si>
  <si>
    <t>0409</t>
  </si>
  <si>
    <t>Дорожное хозяйство</t>
  </si>
  <si>
    <t>315 01 00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</si>
  <si>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</si>
  <si>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</si>
  <si>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</si>
  <si>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</si>
  <si>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</si>
  <si>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</si>
  <si>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7.2.2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</si>
  <si>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</si>
  <si>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</si>
  <si>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</si>
  <si>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</si>
  <si>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</si>
  <si>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</si>
  <si>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</si>
  <si>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</si>
  <si>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</si>
  <si>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</si>
  <si>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</si>
  <si>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</si>
  <si>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</si>
  <si>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</si>
  <si>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</si>
  <si>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</si>
  <si>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1.4.1</t>
  </si>
  <si>
    <t>1.4.1.1</t>
  </si>
  <si>
    <t>993 2 02 03027 03 0200 151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</si>
  <si>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</si>
  <si>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</si>
  <si>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</si>
  <si>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1.2.5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</si>
  <si>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</si>
  <si>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</si>
  <si>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</si>
  <si>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</si>
  <si>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</si>
  <si>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</si>
  <si>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</si>
  <si>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</si>
  <si>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Благоустройство придомовых территорий и дворовых территрий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</si>
  <si>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</si>
  <si>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</si>
  <si>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Организация дополнительных парковочных мест</t>
  </si>
  <si>
    <t>0502</t>
  </si>
  <si>
    <t>600 01 02</t>
  </si>
  <si>
    <t>4.1.2.1</t>
  </si>
  <si>
    <t>4.1.3</t>
  </si>
  <si>
    <t>Установка исодержание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</si>
  <si>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600 01 04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</si>
  <si>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</si>
  <si>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</si>
  <si>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</si>
  <si>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Уборка водных акваторий , тупиков и проездов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</si>
  <si>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</si>
  <si>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</si>
  <si>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</si>
  <si>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</si>
  <si>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</si>
  <si>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</si>
  <si>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</si>
  <si>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Вознаграждение, причитающееся приемному родителю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</si>
  <si>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</si>
  <si>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</si>
  <si>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</si>
  <si>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</si>
  <si>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</si>
  <si>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</si>
  <si>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</si>
  <si>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</si>
  <si>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</si>
  <si>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</si>
  <si>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</si>
  <si>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</si>
  <si>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</si>
  <si>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</si>
  <si>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</si>
  <si>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</si>
  <si>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</si>
  <si>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</si>
  <si>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</si>
  <si>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</si>
  <si>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</si>
  <si>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</si>
  <si>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</si>
  <si>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</si>
  <si>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</si>
  <si>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</si>
  <si>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</si>
  <si>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0107</t>
  </si>
  <si>
    <t>020 01 01</t>
  </si>
  <si>
    <t>Исполнение  на 1.09.13</t>
  </si>
  <si>
    <t>Сумма   (тыс.руб.)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</si>
  <si>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</si>
  <si>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</si>
  <si>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991</t>
  </si>
  <si>
    <t>Обеспечение проведения выборов и референдумов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</si>
  <si>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</si>
  <si>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</si>
  <si>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</si>
  <si>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</si>
  <si>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</si>
  <si>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</si>
  <si>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</si>
  <si>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</si>
  <si>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</si>
  <si>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</si>
  <si>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</si>
  <si>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</si>
  <si>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</si>
  <si>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</si>
  <si>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</si>
  <si>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</si>
  <si>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</si>
  <si>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</si>
  <si>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4.1.1.1.1</t>
  </si>
  <si>
    <t>4.1.2.1.1</t>
  </si>
  <si>
    <t>4.1.3.1.1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</si>
  <si>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</si>
  <si>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</si>
  <si>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</si>
  <si>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</si>
  <si>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</si>
  <si>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5.2.2</t>
  </si>
  <si>
    <t>5.2.2.1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</si>
  <si>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</si>
  <si>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</si>
  <si>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</si>
  <si>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</si>
  <si>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</si>
  <si>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</si>
  <si>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</si>
  <si>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</si>
  <si>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</si>
  <si>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</si>
  <si>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</si>
  <si>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</si>
  <si>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</si>
  <si>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</si>
  <si>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</si>
  <si>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</si>
  <si>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</si>
  <si>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</si>
  <si>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</si>
  <si>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</si>
  <si>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</si>
  <si>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</si>
  <si>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</si>
  <si>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</si>
  <si>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4.1.2.1.1.1</t>
  </si>
  <si>
    <t>5.1.1.1.1</t>
  </si>
  <si>
    <t>5.2.1.1.1</t>
  </si>
  <si>
    <t>5.2.2.1.1</t>
  </si>
  <si>
    <t>6.2.1.1.1</t>
  </si>
  <si>
    <t>7.1.1.1.1</t>
  </si>
  <si>
    <t>7.2.1.1.1</t>
  </si>
  <si>
    <t>8.1.1.1.1</t>
  </si>
  <si>
    <t>9.1.1.1.1</t>
  </si>
  <si>
    <t>9.1.2.1.1</t>
  </si>
  <si>
    <t>Главный распорядитель бюджетных средств - избирательная комиссия муниципального образования п.Лисий Нос (ГРБС)</t>
  </si>
  <si>
    <t>Проведение выборов в представительные органы муниципального образования</t>
  </si>
  <si>
    <t>002 01 01</t>
  </si>
  <si>
    <t xml:space="preserve">Закупка товаров, работ и услуг для государственных (муниципальных) нужд
</t>
  </si>
  <si>
    <t>1.1.1.1.1.1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</si>
  <si>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</si>
  <si>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</si>
  <si>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</si>
  <si>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</si>
  <si>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</si>
  <si>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</si>
  <si>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</si>
  <si>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</si>
  <si>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(тыс.руб.)</t>
  </si>
  <si>
    <t>Код</t>
  </si>
  <si>
    <t>Наименование</t>
  </si>
  <si>
    <t>1.Источники внутреннего финансирования дефицита бюджета</t>
  </si>
  <si>
    <t xml:space="preserve">000 01 05 00 00 00 0000 000 </t>
  </si>
  <si>
    <t>Изменение остатков средств 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</si>
  <si>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</si>
  <si>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</si>
  <si>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Итого по источникам внутреннего финансирования дефицита бюджета</t>
  </si>
  <si>
    <t>Всего источников финансирования дефицита бюджета</t>
  </si>
  <si>
    <t>1.1.1.1.2</t>
  </si>
  <si>
    <t>1.1.1.1.2.1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</si>
  <si>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</si>
  <si>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</si>
  <si>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</si>
  <si>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</si>
  <si>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</si>
  <si>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</si>
  <si>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</si>
  <si>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002 80 31</t>
  </si>
  <si>
    <t>511 80 33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</si>
  <si>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</si>
  <si>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</si>
  <si>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</si>
  <si>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</si>
  <si>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</si>
  <si>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</si>
  <si>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</si>
  <si>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</si>
  <si>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</si>
  <si>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</si>
  <si>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</si>
  <si>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</si>
  <si>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</si>
  <si>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</si>
  <si>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</si>
  <si>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</si>
  <si>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</si>
  <si>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</si>
  <si>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</si>
  <si>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</si>
  <si>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</si>
  <si>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</si>
  <si>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</si>
  <si>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</si>
  <si>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</si>
  <si>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</si>
  <si>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</si>
  <si>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Проведение работ по военно-патриотическому воспитанию граждан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</si>
  <si>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</si>
  <si>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</si>
  <si>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</si>
  <si>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</si>
  <si>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</si>
  <si>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</si>
  <si>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1.1.4.1.1.1</t>
  </si>
  <si>
    <t>1.1.4.1.2</t>
  </si>
  <si>
    <t>1.1.4.1.2.1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</si>
  <si>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</si>
  <si>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</si>
  <si>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</si>
  <si>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</si>
  <si>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</si>
  <si>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</si>
  <si>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</si>
  <si>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</si>
  <si>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</si>
  <si>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</si>
  <si>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</si>
  <si>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</si>
  <si>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1.3.6</t>
  </si>
  <si>
    <t>1.3.6.1</t>
  </si>
  <si>
    <t>1.3.6.1.1</t>
  </si>
  <si>
    <t>4.1.4</t>
  </si>
  <si>
    <t>4.1.4.1</t>
  </si>
  <si>
    <t>4.1.4.1.1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</si>
  <si>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</si>
  <si>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</si>
  <si>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</si>
  <si>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</si>
  <si>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</si>
  <si>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</si>
  <si>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</si>
  <si>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</si>
  <si>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</si>
  <si>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</si>
  <si>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</si>
  <si>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</si>
  <si>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</si>
  <si>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</si>
  <si>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</si>
  <si>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</si>
  <si>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МО пос. Лисий Нос</t>
  </si>
  <si>
    <t>Муниципальная программа по участию в деятельности профилактике правонарушений в Санкт-Петербурге; участие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</si>
  <si>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600 02 01</t>
  </si>
  <si>
    <t>Оборудование контейнерных площадок на дворовых территориях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</si>
  <si>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</si>
  <si>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</si>
  <si>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</si>
  <si>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</si>
  <si>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 xml:space="preserve">Единый налог на вмененный доход для отдельных видов деятельности </t>
  </si>
  <si>
    <t>5.</t>
  </si>
  <si>
    <t>2.1.1.2</t>
  </si>
  <si>
    <t>2.2</t>
  </si>
  <si>
    <t>2.2.1</t>
  </si>
  <si>
    <t>2.2.1.1</t>
  </si>
  <si>
    <t>1.3.8</t>
  </si>
  <si>
    <t>1.3.8.1</t>
  </si>
  <si>
    <t>1.3.8.1.1</t>
  </si>
  <si>
    <t>Организация учета зеленых насаждений внутриквартального озеленения на территории МО пос. Лисий Нос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</si>
  <si>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</si>
  <si>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</si>
  <si>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</si>
  <si>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 уровня бюджетной обеспеченности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</si>
  <si>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</si>
  <si>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</si>
  <si>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</si>
  <si>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</si>
  <si>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</si>
  <si>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</si>
  <si>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</si>
  <si>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</si>
  <si>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</si>
  <si>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</si>
  <si>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</si>
  <si>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</si>
  <si>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</si>
  <si>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</si>
  <si>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</si>
  <si>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</si>
  <si>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</si>
  <si>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</si>
  <si>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51000 0010 0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</si>
  <si>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</si>
  <si>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</si>
  <si>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</si>
  <si>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</si>
  <si>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</si>
  <si>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</si>
  <si>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</si>
  <si>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</si>
  <si>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</si>
  <si>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</si>
  <si>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</si>
  <si>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</si>
  <si>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</si>
  <si>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60000 0016 5</t>
  </si>
  <si>
    <t>60000 0016 0</t>
  </si>
  <si>
    <t>42800 0018 0</t>
  </si>
  <si>
    <t>43100 0019 0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</si>
  <si>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</si>
  <si>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</si>
  <si>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</si>
  <si>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</si>
  <si>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</si>
  <si>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</si>
  <si>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</si>
  <si>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</si>
  <si>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</si>
  <si>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</si>
  <si>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</si>
  <si>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</si>
  <si>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</si>
  <si>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</si>
  <si>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</si>
  <si>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1.2.1.2.1</t>
  </si>
  <si>
    <t>1.2.1.2.1.1</t>
  </si>
  <si>
    <t>79500 0049 0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</si>
  <si>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</si>
  <si>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</si>
  <si>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</si>
  <si>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</si>
  <si>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</si>
  <si>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</si>
  <si>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>1.2.1.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</si>
  <si>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</si>
  <si>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</si>
  <si>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</si>
  <si>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</si>
  <si>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</si>
  <si>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</si>
  <si>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</si>
  <si>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</si>
  <si>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4.1.5.1.1</t>
  </si>
  <si>
    <t>4.1.5.1</t>
  </si>
  <si>
    <t>4.1.6.1.1</t>
  </si>
  <si>
    <t>4.1.6.1</t>
  </si>
  <si>
    <t>4.1.7.1</t>
  </si>
  <si>
    <t>4.1.7.1.1</t>
  </si>
  <si>
    <t>4.1.8.1</t>
  </si>
  <si>
    <t>4.1.8.1.1</t>
  </si>
  <si>
    <t>4.1.9.1</t>
  </si>
  <si>
    <t>4.1.9.1.1</t>
  </si>
  <si>
    <t>4.1.10.1</t>
  </si>
  <si>
    <t>4.1.10.1.1</t>
  </si>
  <si>
    <t>4.1.11.1</t>
  </si>
  <si>
    <t>4.1.11.1.1</t>
  </si>
  <si>
    <t>4.1.12.1</t>
  </si>
  <si>
    <t>4.1.12.1.1</t>
  </si>
  <si>
    <t>1.2.1.3</t>
  </si>
  <si>
    <t>1.2.1.3.1</t>
  </si>
  <si>
    <t xml:space="preserve">Иные бюджетные ассигнования
</t>
  </si>
  <si>
    <t xml:space="preserve">993 1 16 90030 03 0400 140 </t>
  </si>
  <si>
    <t>Денежные средства от уплаты поставщиком (подрядчиком, исполнителем) неустойки (штрафа, пени) за неисполнеие или ненадлежащее исполнение им условий гражданско-правовой сделки</t>
  </si>
  <si>
    <t>ИСПОЛНЕНИЕ</t>
  </si>
  <si>
    <t>ДОХОДОВ МЕСТНОГО БЮДЖЕТА МО ПОС. ЛИСИЙ НОС ЗА 2016 ГОД ПО КОДАМ КЛАССИФИКАЦИИ ДОХОДОВ БЮДЖЕТА</t>
  </si>
  <si>
    <t>Исполнено   (тыс.руб.)</t>
  </si>
  <si>
    <t>Исполнено                          (%)</t>
  </si>
  <si>
    <t>План (тыс. руб.)</t>
  </si>
  <si>
    <t xml:space="preserve">867 1 13 02993 03 0100 130 </t>
  </si>
  <si>
    <t>ИСПОЛНЕНИЕ ПО ВЕДОМСТВЕННОЙ СТРУКТУРЕ</t>
  </si>
  <si>
    <t xml:space="preserve"> РАСХОДОВ МЕСТНОГО БЮДЖЕТА МУНИЦИПАЛЬНОГО ОБРАЗОВАНИЯ ПОСЕЛОК ЛИСИЙ НОС ЗА 2016 год</t>
  </si>
  <si>
    <t xml:space="preserve"> ИСПОЛНЕНИЕ РАСПРЕДЕЛЕНИЯ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ЗА 2016 год</t>
  </si>
  <si>
    <t>План (тыс.руб)</t>
  </si>
  <si>
    <t>Исполнено (тыс.руб)</t>
  </si>
  <si>
    <t>Исполнено (%)</t>
  </si>
  <si>
    <t xml:space="preserve">    План           (тыс. руб.)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</si>
  <si>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</si>
  <si>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 xml:space="preserve"> План (тыс.руб)</t>
  </si>
  <si>
    <t>Исполнение (тыс.руб)</t>
  </si>
  <si>
    <t>Исполнение (%)</t>
  </si>
  <si>
    <t xml:space="preserve">ИСПОЛНЕНИЕ </t>
  </si>
  <si>
    <t>ИСТОЧНИКОВ ФИНАНСИРОВАНИЯ ДЕФИЦИТА МЕСТНОГО БЮДЖЕТА МО ПОСЕЛОК ЛИСИЙ НОС ЗА 2016 ГОД ПО КОДАМ КЛАССИФИКАЦИИ ИСТОЧНИКОВ ФИНАНСИРОВАНИЯ ДЕФИЦИТА БЮДЖЕТА</t>
  </si>
  <si>
    <t>000 01 05 00 00 00 0000 000</t>
  </si>
  <si>
    <t xml:space="preserve">                         Приложение № 4</t>
  </si>
  <si>
    <t>к Решению муниципального совета МО пос. Лисий Нос</t>
  </si>
  <si>
    <t>№ 21 от 04.05.2017 г.</t>
  </si>
  <si>
    <t>Приложение № 1</t>
  </si>
  <si>
    <t>Приложение № 3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</si>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</sst>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164" formatCode="0.0"/>
    <numFmt numFmtId="165" formatCode="#,##0.0"/>
    <numFmt numFmtId="166" formatCode="#,##0&quot;р.&quot;"/>
    <numFmt numFmtId="167" formatCode="#,##0.00&quot;р.&quot;"/>
    <numFmt numFmtId="168" formatCode="0.0%"/>
  </numFmts>
  <fonts count="34" x14ac:knownFonts="1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10"/>
      <color rgb="FF7030A0"/>
      <name val="MS Sans Serif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42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7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42" fontId="10" fillId="0" borderId="0" xfId="5" applyNumberFormat="1" applyFont="1" applyFill="1" applyBorder="1" applyAlignment="1" applyProtection="1">
      <alignment horizontal="right" vertical="top"/>
    </xf>
    <xf numFmtId="167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7" fontId="11" fillId="0" borderId="0" xfId="5" applyNumberFormat="1" applyFont="1"/>
    <xf numFmtId="167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42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7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6" fontId="10" fillId="0" borderId="7" xfId="5" applyNumberFormat="1" applyFont="1" applyFill="1" applyBorder="1" applyAlignment="1" applyProtection="1">
      <alignment vertical="top"/>
    </xf>
    <xf numFmtId="42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7" fontId="8" fillId="0" borderId="15" xfId="5" applyNumberFormat="1" applyFont="1" applyFill="1" applyBorder="1" applyAlignment="1" applyProtection="1">
      <alignment horizontal="right" vertical="top"/>
    </xf>
    <xf numFmtId="0" fontId="10" fillId="0" borderId="8" xfId="5" applyNumberFormat="1" applyFont="1" applyFill="1" applyBorder="1" applyAlignment="1" applyProtection="1">
      <alignment horizontal="center" vertical="top"/>
    </xf>
    <xf numFmtId="9" fontId="10" fillId="0" borderId="8" xfId="5" applyNumberFormat="1" applyFont="1" applyFill="1" applyBorder="1" applyAlignment="1" applyProtection="1">
      <alignment horizontal="center" vertical="top"/>
    </xf>
    <xf numFmtId="168" fontId="10" fillId="0" borderId="8" xfId="5" applyNumberFormat="1" applyFill="1" applyBorder="1" applyAlignment="1" applyProtection="1">
      <alignment horizontal="right" vertical="top"/>
    </xf>
    <xf numFmtId="3" fontId="10" fillId="0" borderId="8" xfId="5" applyNumberFormat="1" applyFont="1" applyFill="1" applyBorder="1" applyAlignment="1" applyProtection="1">
      <alignment horizontal="center" vertical="top"/>
    </xf>
    <xf numFmtId="0" fontId="10" fillId="0" borderId="8" xfId="5" applyNumberFormat="1" applyFill="1" applyBorder="1" applyAlignment="1" applyProtection="1">
      <alignment horizontal="center" vertical="top"/>
    </xf>
    <xf numFmtId="0" fontId="10" fillId="0" borderId="8" xfId="5" applyNumberFormat="1" applyFill="1" applyBorder="1" applyAlignment="1" applyProtection="1">
      <alignment vertical="top"/>
    </xf>
    <xf numFmtId="0" fontId="10" fillId="0" borderId="12" xfId="5" applyNumberFormat="1" applyFont="1" applyFill="1" applyBorder="1" applyAlignment="1" applyProtection="1">
      <alignment horizontal="center" vertical="top"/>
    </xf>
    <xf numFmtId="9" fontId="10" fillId="0" borderId="12" xfId="5" applyNumberFormat="1" applyFont="1" applyFill="1" applyBorder="1" applyAlignment="1" applyProtection="1">
      <alignment horizontal="center" vertical="top"/>
    </xf>
    <xf numFmtId="42" fontId="10" fillId="0" borderId="12" xfId="5" applyNumberFormat="1" applyFont="1" applyFill="1" applyBorder="1" applyAlignment="1" applyProtection="1">
      <alignment horizontal="right" vertical="top"/>
    </xf>
    <xf numFmtId="3" fontId="10" fillId="0" borderId="12" xfId="5" applyNumberFormat="1" applyFont="1" applyFill="1" applyBorder="1" applyAlignment="1" applyProtection="1">
      <alignment horizontal="center" vertical="top"/>
    </xf>
    <xf numFmtId="0" fontId="10" fillId="0" borderId="12" xfId="5" applyNumberFormat="1" applyFill="1" applyBorder="1" applyAlignment="1" applyProtection="1">
      <alignment vertical="top"/>
    </xf>
    <xf numFmtId="167" fontId="13" fillId="0" borderId="14" xfId="5" applyNumberFormat="1" applyFont="1" applyFill="1" applyBorder="1" applyAlignment="1" applyProtection="1">
      <alignment horizontal="right" vertical="top"/>
    </xf>
    <xf numFmtId="42" fontId="13" fillId="0" borderId="7" xfId="5" applyNumberFormat="1" applyFont="1" applyFill="1" applyBorder="1" applyAlignment="1" applyProtection="1">
      <alignment horizontal="right" vertical="top"/>
    </xf>
    <xf numFmtId="0" fontId="13" fillId="0" borderId="12" xfId="5" applyNumberFormat="1" applyFont="1" applyFill="1" applyBorder="1" applyAlignment="1" applyProtection="1">
      <alignment horizontal="center" vertical="top"/>
    </xf>
    <xf numFmtId="167" fontId="10" fillId="0" borderId="14" xfId="5" applyNumberFormat="1" applyFont="1" applyFill="1" applyBorder="1" applyAlignment="1" applyProtection="1">
      <alignment horizontal="right" vertical="top"/>
    </xf>
    <xf numFmtId="9" fontId="13" fillId="0" borderId="12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7" fontId="8" fillId="0" borderId="14" xfId="5" applyNumberFormat="1" applyFont="1" applyFill="1" applyBorder="1" applyAlignment="1" applyProtection="1">
      <alignment horizontal="right" vertical="top"/>
    </xf>
    <xf numFmtId="168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7" fontId="10" fillId="0" borderId="16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42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7" fontId="10" fillId="0" borderId="17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42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8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7" fontId="10" fillId="0" borderId="17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42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42" fontId="13" fillId="0" borderId="12" xfId="5" applyNumberFormat="1" applyFont="1" applyFill="1" applyBorder="1" applyAlignment="1" applyProtection="1">
      <alignment horizontal="right" vertical="top"/>
    </xf>
    <xf numFmtId="167" fontId="13" fillId="0" borderId="18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7" fontId="15" fillId="0" borderId="15" xfId="5" applyNumberFormat="1" applyFont="1" applyFill="1" applyBorder="1" applyAlignment="1" applyProtection="1">
      <alignment horizontal="right" vertical="top"/>
    </xf>
    <xf numFmtId="0" fontId="10" fillId="0" borderId="13" xfId="5" applyNumberFormat="1" applyFill="1" applyBorder="1" applyAlignment="1" applyProtection="1">
      <alignment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42" fontId="13" fillId="0" borderId="13" xfId="5" applyNumberFormat="1" applyFont="1" applyFill="1" applyBorder="1" applyAlignment="1" applyProtection="1">
      <alignment horizontal="right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167" fontId="13" fillId="0" borderId="19" xfId="5" applyNumberFormat="1" applyFont="1" applyFill="1" applyBorder="1" applyAlignment="1" applyProtection="1">
      <alignment horizontal="right" vertical="top"/>
    </xf>
    <xf numFmtId="167" fontId="10" fillId="0" borderId="15" xfId="5" applyNumberFormat="1" applyFont="1" applyFill="1" applyBorder="1" applyAlignment="1" applyProtection="1">
      <alignment horizontal="right" vertical="top"/>
    </xf>
    <xf numFmtId="0" fontId="10" fillId="0" borderId="13" xfId="5" applyNumberFormat="1" applyFill="1" applyBorder="1" applyAlignment="1" applyProtection="1">
      <alignment horizontal="center" vertical="top"/>
    </xf>
    <xf numFmtId="168" fontId="10" fillId="0" borderId="13" xfId="5" applyNumberFormat="1" applyFill="1" applyBorder="1" applyAlignment="1" applyProtection="1">
      <alignment horizontal="right" vertical="top"/>
    </xf>
    <xf numFmtId="167" fontId="15" fillId="0" borderId="19" xfId="5" applyNumberFormat="1" applyFont="1" applyFill="1" applyBorder="1" applyAlignment="1" applyProtection="1">
      <alignment horizontal="right" vertical="top"/>
    </xf>
    <xf numFmtId="168" fontId="10" fillId="0" borderId="8" xfId="5" applyNumberFormat="1" applyFont="1" applyFill="1" applyBorder="1" applyAlignment="1" applyProtection="1">
      <alignment horizontal="right" vertical="top"/>
    </xf>
    <xf numFmtId="0" fontId="11" fillId="0" borderId="13" xfId="5" applyNumberFormat="1" applyFont="1" applyFill="1" applyBorder="1" applyAlignment="1" applyProtection="1">
      <alignment vertical="top"/>
    </xf>
    <xf numFmtId="0" fontId="11" fillId="0" borderId="13" xfId="5" applyNumberFormat="1" applyFont="1" applyFill="1" applyBorder="1" applyAlignment="1" applyProtection="1">
      <alignment horizontal="center" vertical="top"/>
    </xf>
    <xf numFmtId="3" fontId="11" fillId="0" borderId="13" xfId="5" applyNumberFormat="1" applyFont="1" applyFill="1" applyBorder="1" applyAlignment="1" applyProtection="1">
      <alignment horizontal="center" vertical="top"/>
    </xf>
    <xf numFmtId="42" fontId="11" fillId="0" borderId="13" xfId="5" applyNumberFormat="1" applyFont="1" applyFill="1" applyBorder="1" applyAlignment="1" applyProtection="1">
      <alignment horizontal="right" vertical="top"/>
    </xf>
    <xf numFmtId="9" fontId="11" fillId="0" borderId="13" xfId="5" applyNumberFormat="1" applyFont="1" applyFill="1" applyBorder="1" applyAlignment="1" applyProtection="1">
      <alignment horizontal="center" vertical="top"/>
    </xf>
    <xf numFmtId="167" fontId="11" fillId="0" borderId="19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42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7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5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4" fontId="18" fillId="0" borderId="6" xfId="3" applyNumberFormat="1" applyFont="1" applyFill="1" applyBorder="1" applyAlignment="1" applyProtection="1">
      <alignment horizontal="center" vertical="center"/>
    </xf>
    <xf numFmtId="0" fontId="18" fillId="0" borderId="34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6" xfId="3" applyNumberFormat="1" applyFont="1" applyFill="1" applyBorder="1" applyAlignment="1" applyProtection="1">
      <alignment horizontal="center" vertical="center"/>
    </xf>
    <xf numFmtId="165" fontId="18" fillId="0" borderId="16" xfId="3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165" fontId="18" fillId="0" borderId="8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37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4" fontId="21" fillId="0" borderId="7" xfId="3" applyNumberFormat="1" applyFont="1" applyFill="1" applyBorder="1" applyAlignment="1" applyProtection="1">
      <alignment horizontal="center" vertical="center" wrapText="1"/>
    </xf>
    <xf numFmtId="164" fontId="24" fillId="0" borderId="25" xfId="3" applyNumberFormat="1" applyFont="1" applyFill="1" applyBorder="1" applyAlignment="1" applyProtection="1">
      <alignment horizontal="center" vertical="center" wrapText="1"/>
    </xf>
    <xf numFmtId="164" fontId="24" fillId="0" borderId="27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4" fontId="21" fillId="9" borderId="7" xfId="3" applyNumberFormat="1" applyFont="1" applyFill="1" applyBorder="1" applyAlignment="1" applyProtection="1">
      <alignment horizontal="center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4" fontId="22" fillId="9" borderId="25" xfId="3" applyNumberFormat="1" applyFont="1" applyFill="1" applyBorder="1" applyAlignment="1" applyProtection="1">
      <alignment horizontal="center" vertical="center"/>
    </xf>
    <xf numFmtId="164" fontId="22" fillId="9" borderId="27" xfId="3" applyNumberFormat="1" applyFont="1" applyFill="1" applyBorder="1" applyAlignment="1" applyProtection="1">
      <alignment horizontal="center" vertical="center"/>
    </xf>
    <xf numFmtId="165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4" fontId="21" fillId="7" borderId="7" xfId="3" applyNumberFormat="1" applyFont="1" applyFill="1" applyBorder="1" applyAlignment="1" applyProtection="1">
      <alignment horizontal="center" vertical="center"/>
    </xf>
    <xf numFmtId="165" fontId="21" fillId="7" borderId="7" xfId="3" applyNumberFormat="1" applyFont="1" applyFill="1" applyBorder="1" applyAlignment="1" applyProtection="1">
      <alignment horizontal="center" vertical="center"/>
    </xf>
    <xf numFmtId="164" fontId="22" fillId="7" borderId="23" xfId="3" applyNumberFormat="1" applyFont="1" applyFill="1" applyBorder="1" applyAlignment="1" applyProtection="1">
      <alignment horizontal="center" vertical="center"/>
    </xf>
    <xf numFmtId="164" fontId="22" fillId="7" borderId="38" xfId="3" applyNumberFormat="1" applyFont="1" applyFill="1" applyBorder="1" applyAlignment="1" applyProtection="1">
      <alignment horizontal="center" vertical="center"/>
    </xf>
    <xf numFmtId="165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4" fontId="20" fillId="0" borderId="7" xfId="3" applyNumberFormat="1" applyFont="1" applyFill="1" applyBorder="1" applyAlignment="1" applyProtection="1">
      <alignment horizontal="center" vertical="center"/>
    </xf>
    <xf numFmtId="165" fontId="20" fillId="0" borderId="7" xfId="3" applyNumberFormat="1" applyFont="1" applyFill="1" applyBorder="1" applyAlignment="1" applyProtection="1">
      <alignment horizontal="center" vertical="center"/>
    </xf>
    <xf numFmtId="164" fontId="20" fillId="0" borderId="35" xfId="3" applyNumberFormat="1" applyFont="1" applyFill="1" applyBorder="1" applyAlignment="1" applyProtection="1">
      <alignment horizontal="center" vertical="center"/>
    </xf>
    <xf numFmtId="164" fontId="20" fillId="0" borderId="34" xfId="3" applyNumberFormat="1" applyFont="1" applyFill="1" applyBorder="1" applyAlignment="1" applyProtection="1">
      <alignment horizontal="center" vertical="center"/>
    </xf>
    <xf numFmtId="165" fontId="20" fillId="0" borderId="7" xfId="0" applyNumberFormat="1" applyFont="1" applyFill="1" applyBorder="1" applyAlignment="1" applyProtection="1">
      <alignment horizontal="center" vertical="center"/>
    </xf>
    <xf numFmtId="164" fontId="20" fillId="0" borderId="30" xfId="3" applyNumberFormat="1" applyFont="1" applyFill="1" applyBorder="1" applyAlignment="1" applyProtection="1">
      <alignment horizontal="center" vertical="center"/>
    </xf>
    <xf numFmtId="164" fontId="20" fillId="0" borderId="20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5" fontId="21" fillId="0" borderId="7" xfId="0" applyNumberFormat="1" applyFont="1" applyFill="1" applyBorder="1" applyAlignment="1" applyProtection="1">
      <alignment horizontal="center" vertical="center"/>
    </xf>
    <xf numFmtId="164" fontId="22" fillId="7" borderId="25" xfId="3" applyNumberFormat="1" applyFont="1" applyFill="1" applyBorder="1" applyAlignment="1" applyProtection="1">
      <alignment horizontal="center" vertical="center"/>
    </xf>
    <xf numFmtId="164" fontId="22" fillId="7" borderId="24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5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4" fontId="21" fillId="2" borderId="7" xfId="3" applyNumberFormat="1" applyFont="1" applyFill="1" applyBorder="1" applyAlignment="1" applyProtection="1">
      <alignment horizontal="center" vertical="center"/>
    </xf>
    <xf numFmtId="164" fontId="20" fillId="5" borderId="7" xfId="3" applyNumberFormat="1" applyFont="1" applyFill="1" applyBorder="1" applyAlignment="1" applyProtection="1">
      <alignment horizontal="center" vertical="center"/>
    </xf>
    <xf numFmtId="164" fontId="21" fillId="7" borderId="21" xfId="3" applyNumberFormat="1" applyFont="1" applyFill="1" applyBorder="1" applyAlignment="1" applyProtection="1">
      <alignment horizontal="center" vertical="center"/>
    </xf>
    <xf numFmtId="164" fontId="21" fillId="7" borderId="22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5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4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4" fontId="20" fillId="7" borderId="7" xfId="3" applyNumberFormat="1" applyFont="1" applyFill="1" applyBorder="1" applyAlignment="1" applyProtection="1">
      <alignment horizontal="center" vertical="center"/>
    </xf>
    <xf numFmtId="164" fontId="21" fillId="7" borderId="25" xfId="3" applyNumberFormat="1" applyFont="1" applyFill="1" applyBorder="1" applyAlignment="1" applyProtection="1">
      <alignment horizontal="center" vertical="center"/>
    </xf>
    <xf numFmtId="164" fontId="21" fillId="7" borderId="24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4" fontId="21" fillId="4" borderId="7" xfId="3" applyNumberFormat="1" applyFont="1" applyFill="1" applyBorder="1" applyAlignment="1" applyProtection="1">
      <alignment horizontal="center" vertical="center"/>
    </xf>
    <xf numFmtId="164" fontId="20" fillId="0" borderId="29" xfId="3" applyNumberFormat="1" applyFont="1" applyFill="1" applyBorder="1" applyAlignment="1" applyProtection="1">
      <alignment horizontal="center" vertical="center"/>
    </xf>
    <xf numFmtId="164" fontId="20" fillId="0" borderId="21" xfId="3" applyNumberFormat="1" applyFont="1" applyFill="1" applyBorder="1" applyAlignment="1" applyProtection="1">
      <alignment horizontal="center" vertical="center"/>
    </xf>
    <xf numFmtId="164" fontId="20" fillId="0" borderId="22" xfId="3" applyNumberFormat="1" applyFont="1" applyFill="1" applyBorder="1" applyAlignment="1" applyProtection="1">
      <alignment horizontal="center" vertical="center"/>
    </xf>
    <xf numFmtId="164" fontId="20" fillId="9" borderId="7" xfId="3" applyNumberFormat="1" applyFont="1" applyFill="1" applyBorder="1" applyAlignment="1" applyProtection="1">
      <alignment horizontal="center" vertical="center"/>
    </xf>
    <xf numFmtId="164" fontId="21" fillId="9" borderId="25" xfId="3" applyNumberFormat="1" applyFont="1" applyFill="1" applyBorder="1" applyAlignment="1" applyProtection="1">
      <alignment horizontal="center" vertical="center"/>
    </xf>
    <xf numFmtId="164" fontId="21" fillId="9" borderId="24" xfId="3" applyNumberFormat="1" applyFont="1" applyFill="1" applyBorder="1" applyAlignment="1" applyProtection="1">
      <alignment horizontal="center" vertical="center"/>
    </xf>
    <xf numFmtId="164" fontId="21" fillId="7" borderId="23" xfId="3" applyNumberFormat="1" applyFont="1" applyFill="1" applyBorder="1" applyAlignment="1" applyProtection="1">
      <alignment horizontal="center" vertical="center"/>
    </xf>
    <xf numFmtId="164" fontId="21" fillId="7" borderId="39" xfId="3" applyNumberFormat="1" applyFont="1" applyFill="1" applyBorder="1" applyAlignment="1" applyProtection="1">
      <alignment horizontal="center" vertical="center"/>
    </xf>
    <xf numFmtId="164" fontId="21" fillId="0" borderId="29" xfId="3" applyNumberFormat="1" applyFont="1" applyFill="1" applyBorder="1" applyAlignment="1" applyProtection="1">
      <alignment horizontal="center" vertical="center"/>
    </xf>
    <xf numFmtId="164" fontId="21" fillId="0" borderId="34" xfId="3" applyNumberFormat="1" applyFont="1" applyFill="1" applyBorder="1" applyAlignment="1" applyProtection="1">
      <alignment horizontal="center" vertical="center"/>
    </xf>
    <xf numFmtId="164" fontId="21" fillId="0" borderId="21" xfId="3" applyNumberFormat="1" applyFont="1" applyFill="1" applyBorder="1" applyAlignment="1" applyProtection="1">
      <alignment horizontal="center" vertical="center"/>
    </xf>
    <xf numFmtId="164" fontId="21" fillId="0" borderId="22" xfId="3" applyNumberFormat="1" applyFont="1" applyFill="1" applyBorder="1" applyAlignment="1" applyProtection="1">
      <alignment horizontal="center" vertical="center"/>
    </xf>
    <xf numFmtId="164" fontId="20" fillId="2" borderId="7" xfId="3" applyNumberFormat="1" applyFont="1" applyFill="1" applyBorder="1" applyAlignment="1" applyProtection="1">
      <alignment horizontal="center" vertical="center"/>
    </xf>
    <xf numFmtId="164" fontId="20" fillId="0" borderId="33" xfId="3" applyNumberFormat="1" applyFont="1" applyFill="1" applyBorder="1" applyAlignment="1" applyProtection="1">
      <alignment horizontal="center" vertical="center"/>
    </xf>
    <xf numFmtId="164" fontId="20" fillId="0" borderId="31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5" fontId="20" fillId="5" borderId="7" xfId="3" applyNumberFormat="1" applyFont="1" applyFill="1" applyBorder="1" applyAlignment="1" applyProtection="1">
      <alignment horizontal="center" vertical="center"/>
    </xf>
    <xf numFmtId="164" fontId="20" fillId="5" borderId="29" xfId="3" applyNumberFormat="1" applyFont="1" applyFill="1" applyBorder="1" applyAlignment="1" applyProtection="1">
      <alignment horizontal="center" vertical="center"/>
    </xf>
    <xf numFmtId="164" fontId="20" fillId="5" borderId="34" xfId="3" applyNumberFormat="1" applyFont="1" applyFill="1" applyBorder="1" applyAlignment="1" applyProtection="1">
      <alignment horizontal="center" vertical="center"/>
    </xf>
    <xf numFmtId="164" fontId="21" fillId="5" borderId="36" xfId="3" applyNumberFormat="1" applyFont="1" applyFill="1" applyBorder="1" applyAlignment="1" applyProtection="1">
      <alignment horizontal="center" vertical="center"/>
    </xf>
    <xf numFmtId="164" fontId="21" fillId="5" borderId="27" xfId="3" applyNumberFormat="1" applyFont="1" applyFill="1" applyBorder="1" applyAlignment="1" applyProtection="1">
      <alignment horizontal="center" vertical="center"/>
    </xf>
    <xf numFmtId="164" fontId="20" fillId="5" borderId="21" xfId="3" applyNumberFormat="1" applyFont="1" applyFill="1" applyBorder="1" applyAlignment="1" applyProtection="1">
      <alignment horizontal="center" vertical="center"/>
    </xf>
    <xf numFmtId="164" fontId="20" fillId="5" borderId="22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5" fontId="18" fillId="0" borderId="29" xfId="3" applyNumberFormat="1" applyFont="1" applyFill="1" applyBorder="1" applyAlignment="1" applyProtection="1">
      <alignment horizontal="center" vertical="center"/>
    </xf>
    <xf numFmtId="165" fontId="18" fillId="0" borderId="34" xfId="3" applyNumberFormat="1" applyFont="1" applyFill="1" applyBorder="1" applyAlignment="1" applyProtection="1">
      <alignment horizontal="center" vertical="center"/>
    </xf>
    <xf numFmtId="164" fontId="21" fillId="0" borderId="25" xfId="3" applyNumberFormat="1" applyFont="1" applyFill="1" applyBorder="1" applyAlignment="1" applyProtection="1">
      <alignment horizontal="center" vertical="center"/>
    </xf>
    <xf numFmtId="164" fontId="21" fillId="0" borderId="24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/>
    </xf>
    <xf numFmtId="164" fontId="21" fillId="5" borderId="7" xfId="3" applyNumberFormat="1" applyFont="1" applyFill="1" applyBorder="1" applyAlignment="1" applyProtection="1">
      <alignment horizontal="center" vertical="center"/>
    </xf>
    <xf numFmtId="164" fontId="21" fillId="5" borderId="29" xfId="3" applyNumberFormat="1" applyFont="1" applyFill="1" applyBorder="1" applyAlignment="1" applyProtection="1">
      <alignment horizontal="center" vertical="center"/>
    </xf>
    <xf numFmtId="164" fontId="21" fillId="5" borderId="34" xfId="3" applyNumberFormat="1" applyFont="1" applyFill="1" applyBorder="1" applyAlignment="1" applyProtection="1">
      <alignment horizontal="center" vertical="center"/>
    </xf>
    <xf numFmtId="164" fontId="20" fillId="0" borderId="3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5" fontId="18" fillId="0" borderId="25" xfId="3" applyNumberFormat="1" applyFont="1" applyFill="1" applyBorder="1" applyAlignment="1" applyProtection="1">
      <alignment horizontal="center" vertical="center"/>
    </xf>
    <xf numFmtId="165" fontId="18" fillId="0" borderId="2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49" fontId="29" fillId="0" borderId="10" xfId="0" applyNumberFormat="1" applyFont="1" applyFill="1" applyBorder="1" applyAlignment="1">
      <alignment vertical="center"/>
    </xf>
    <xf numFmtId="49" fontId="29" fillId="0" borderId="10" xfId="0" applyNumberFormat="1" applyFont="1" applyFill="1" applyBorder="1" applyAlignment="1" applyProtection="1">
      <alignment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12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horizontal="right" vertical="top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165" fontId="24" fillId="0" borderId="7" xfId="0" applyNumberFormat="1" applyFont="1" applyFill="1" applyBorder="1" applyAlignment="1" applyProtection="1">
      <alignment horizontal="center" vertical="center" wrapText="1"/>
    </xf>
    <xf numFmtId="165" fontId="24" fillId="0" borderId="7" xfId="0" applyNumberFormat="1" applyFont="1" applyFill="1" applyBorder="1" applyAlignment="1" applyProtection="1">
      <alignment horizontal="center" vertical="center"/>
    </xf>
    <xf numFmtId="165" fontId="31" fillId="0" borderId="7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0" xfId="0" applyNumberFormat="1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49" fontId="28" fillId="0" borderId="10" xfId="0" applyNumberFormat="1" applyFont="1" applyFill="1" applyBorder="1" applyAlignment="1" applyProtection="1">
      <alignment vertical="center" wrapText="1"/>
      <protection hidden="1"/>
    </xf>
    <xf numFmtId="49" fontId="28" fillId="0" borderId="10" xfId="0" applyNumberFormat="1" applyFont="1" applyFill="1" applyBorder="1" applyAlignment="1" applyProtection="1">
      <alignment vertical="center"/>
      <protection hidden="1"/>
    </xf>
    <xf numFmtId="49" fontId="29" fillId="0" borderId="10" xfId="0" applyNumberFormat="1" applyFont="1" applyFill="1" applyBorder="1" applyAlignment="1" applyProtection="1">
      <alignment vertical="center"/>
      <protection hidden="1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12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2" xfId="0" applyFont="1" applyFill="1" applyBorder="1" applyAlignment="1">
      <alignment horizontal="left" vertical="center" wrapText="1"/>
    </xf>
    <xf numFmtId="49" fontId="29" fillId="0" borderId="4" xfId="0" applyNumberFormat="1" applyFont="1" applyFill="1" applyBorder="1" applyAlignment="1" applyProtection="1">
      <alignment vertical="center" wrapText="1"/>
      <protection hidden="1"/>
    </xf>
    <xf numFmtId="12" fontId="29" fillId="0" borderId="5" xfId="0" applyNumberFormat="1" applyFont="1" applyFill="1" applyBorder="1" applyAlignment="1" applyProtection="1">
      <alignment horizontal="justify" vertical="center" wrapText="1"/>
      <protection hidden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2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49" fontId="28" fillId="0" borderId="12" xfId="0" applyNumberFormat="1" applyFont="1" applyFill="1" applyBorder="1" applyAlignment="1" applyProtection="1">
      <alignment horizontal="justify"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7" xfId="3" applyNumberFormat="1" applyFont="1" applyFill="1" applyBorder="1" applyAlignment="1" applyProtection="1">
      <alignment horizontal="left" vertical="center"/>
    </xf>
    <xf numFmtId="0" fontId="21" fillId="0" borderId="7" xfId="3" applyNumberFormat="1" applyFont="1" applyFill="1" applyBorder="1" applyAlignment="1" applyProtection="1">
      <alignment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0" applyNumberFormat="1" applyFont="1" applyFill="1" applyBorder="1" applyAlignment="1" applyProtection="1">
      <alignment horizontal="left" wrapText="1"/>
      <protection hidden="1"/>
    </xf>
    <xf numFmtId="0" fontId="25" fillId="0" borderId="0" xfId="0" applyNumberFormat="1" applyFont="1" applyFill="1" applyBorder="1" applyAlignment="1" applyProtection="1">
      <alignment vertical="center" wrapText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ill="1" applyBorder="1" applyAlignment="1" applyProtection="1">
      <alignment vertical="top"/>
    </xf>
    <xf numFmtId="49" fontId="28" fillId="0" borderId="42" xfId="0" applyNumberFormat="1" applyFont="1" applyFill="1" applyBorder="1" applyAlignment="1" applyProtection="1">
      <alignment vertical="center" wrapText="1"/>
      <protection hidden="1"/>
    </xf>
    <xf numFmtId="0" fontId="28" fillId="0" borderId="43" xfId="0" applyFont="1" applyFill="1" applyBorder="1" applyAlignment="1">
      <alignment horizontal="left" vertical="center" wrapText="1"/>
    </xf>
    <xf numFmtId="49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left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7" xfId="7" applyNumberFormat="1" applyFont="1" applyFill="1" applyBorder="1" applyAlignment="1" applyProtection="1">
      <alignment horizontal="center" vertical="center"/>
    </xf>
    <xf numFmtId="49" fontId="29" fillId="0" borderId="5" xfId="7" applyNumberFormat="1" applyFont="1" applyFill="1" applyBorder="1" applyAlignment="1" applyProtection="1">
      <alignment horizontal="left" vertical="center" wrapText="1"/>
    </xf>
    <xf numFmtId="49" fontId="29" fillId="0" borderId="5" xfId="7" applyNumberFormat="1" applyFont="1" applyFill="1" applyBorder="1" applyAlignment="1" applyProtection="1">
      <alignment horizontal="center" vertical="center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8" fillId="0" borderId="7" xfId="7" applyNumberFormat="1" applyFont="1" applyFill="1" applyBorder="1" applyAlignment="1" applyProtection="1">
      <alignment horizontal="left" vertical="center"/>
    </xf>
    <xf numFmtId="49" fontId="28" fillId="0" borderId="7" xfId="7" applyNumberFormat="1" applyFont="1" applyFill="1" applyBorder="1" applyAlignment="1" applyProtection="1">
      <alignment horizontal="justify" vertical="center"/>
    </xf>
    <xf numFmtId="12" fontId="28" fillId="0" borderId="7" xfId="7" applyNumberFormat="1" applyFont="1" applyFill="1" applyBorder="1" applyAlignment="1" applyProtection="1">
      <alignment horizontal="justify" vertical="center" wrapText="1"/>
    </xf>
    <xf numFmtId="49" fontId="29" fillId="0" borderId="12" xfId="7" applyNumberFormat="1" applyFont="1" applyFill="1" applyBorder="1" applyAlignment="1" applyProtection="1">
      <alignment horizontal="center" vertical="center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49" fontId="28" fillId="0" borderId="12" xfId="7" applyNumberFormat="1" applyFont="1" applyFill="1" applyBorder="1" applyAlignment="1" applyProtection="1">
      <alignment horizontal="justify" vertical="center" wrapText="1"/>
    </xf>
    <xf numFmtId="49" fontId="28" fillId="0" borderId="12" xfId="7" applyNumberFormat="1" applyFont="1" applyFill="1" applyBorder="1" applyAlignment="1" applyProtection="1">
      <alignment horizontal="center" vertical="center"/>
    </xf>
    <xf numFmtId="49" fontId="29" fillId="0" borderId="12" xfId="7" applyNumberFormat="1" applyFont="1" applyFill="1" applyBorder="1" applyAlignment="1" applyProtection="1">
      <alignment horizontal="justify" vertical="center" wrapText="1"/>
    </xf>
    <xf numFmtId="49" fontId="29" fillId="0" borderId="10" xfId="7" applyNumberFormat="1" applyFont="1" applyFill="1" applyBorder="1" applyAlignment="1" applyProtection="1">
      <alignment vertical="center"/>
    </xf>
    <xf numFmtId="49" fontId="29" fillId="0" borderId="4" xfId="7" applyNumberFormat="1" applyFont="1" applyFill="1" applyBorder="1" applyAlignment="1" applyProtection="1">
      <alignment horizontal="left" vertical="center"/>
    </xf>
    <xf numFmtId="49" fontId="28" fillId="0" borderId="10" xfId="7" applyNumberFormat="1" applyFont="1" applyFill="1" applyBorder="1" applyAlignment="1" applyProtection="1">
      <alignment horizontal="left" vertical="center"/>
    </xf>
    <xf numFmtId="49" fontId="28" fillId="0" borderId="10" xfId="7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center" vertical="center" wrapText="1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12" fontId="28" fillId="0" borderId="7" xfId="7" applyNumberFormat="1" applyFont="1" applyFill="1" applyBorder="1" applyAlignment="1" applyProtection="1">
      <alignment horizontal="center" vertical="center" wrapText="1"/>
    </xf>
    <xf numFmtId="49" fontId="29" fillId="0" borderId="11" xfId="7" applyNumberFormat="1" applyFont="1" applyFill="1" applyBorder="1" applyAlignment="1" applyProtection="1">
      <alignment vertical="center"/>
    </xf>
    <xf numFmtId="12" fontId="29" fillId="0" borderId="12" xfId="7" applyNumberFormat="1" applyFont="1" applyFill="1" applyBorder="1" applyAlignment="1" applyProtection="1">
      <alignment horizontal="center" vertical="center" wrapText="1"/>
    </xf>
    <xf numFmtId="49" fontId="29" fillId="0" borderId="5" xfId="7" applyNumberFormat="1" applyFont="1" applyFill="1" applyBorder="1" applyAlignment="1" applyProtection="1">
      <alignment horizontal="center" vertical="center" wrapText="1"/>
    </xf>
    <xf numFmtId="49" fontId="28" fillId="0" borderId="11" xfId="7" applyNumberFormat="1" applyFont="1" applyFill="1" applyBorder="1" applyAlignment="1" applyProtection="1">
      <alignment vertical="center"/>
    </xf>
    <xf numFmtId="49" fontId="28" fillId="0" borderId="12" xfId="7" applyNumberFormat="1" applyFont="1" applyFill="1" applyBorder="1" applyAlignment="1" applyProtection="1">
      <alignment horizontal="center" vertical="center" wrapText="1"/>
    </xf>
    <xf numFmtId="49" fontId="29" fillId="0" borderId="12" xfId="7" applyNumberFormat="1" applyFont="1" applyFill="1" applyBorder="1" applyAlignment="1" applyProtection="1">
      <alignment horizontal="center" vertical="center" wrapText="1"/>
    </xf>
    <xf numFmtId="164" fontId="24" fillId="0" borderId="7" xfId="8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164" fontId="21" fillId="0" borderId="7" xfId="8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vertical="top"/>
    </xf>
    <xf numFmtId="165" fontId="24" fillId="0" borderId="7" xfId="3" applyNumberFormat="1" applyFont="1" applyFill="1" applyBorder="1" applyAlignment="1" applyProtection="1">
      <alignment horizontal="center" vertical="center"/>
    </xf>
    <xf numFmtId="165" fontId="31" fillId="0" borderId="7" xfId="3" applyNumberFormat="1" applyFont="1" applyFill="1" applyBorder="1" applyAlignment="1" applyProtection="1">
      <alignment horizontal="center" vertical="center"/>
    </xf>
    <xf numFmtId="4" fontId="31" fillId="0" borderId="7" xfId="0" applyNumberFormat="1" applyFont="1" applyFill="1" applyBorder="1" applyAlignment="1" applyProtection="1">
      <alignment horizontal="center" vertical="center"/>
    </xf>
    <xf numFmtId="4" fontId="3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0" fontId="2" fillId="0" borderId="7" xfId="0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center" vertical="center"/>
    </xf>
    <xf numFmtId="165" fontId="28" fillId="0" borderId="34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1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2" xfId="0" applyNumberFormat="1" applyFont="1" applyFill="1" applyBorder="1" applyAlignment="1" applyProtection="1">
      <alignment horizontal="center" vertical="center"/>
      <protection hidden="1"/>
    </xf>
    <xf numFmtId="165" fontId="28" fillId="0" borderId="22" xfId="0" applyNumberFormat="1" applyFont="1" applyFill="1" applyBorder="1" applyAlignment="1" applyProtection="1">
      <alignment horizontal="center" vertical="center"/>
      <protection hidden="1"/>
    </xf>
    <xf numFmtId="165" fontId="28" fillId="0" borderId="22" xfId="0" applyNumberFormat="1" applyFont="1" applyFill="1" applyBorder="1" applyAlignment="1">
      <alignment horizontal="center" vertical="center" wrapText="1"/>
    </xf>
    <xf numFmtId="165" fontId="28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4" xfId="7" applyNumberFormat="1" applyFont="1" applyFill="1" applyBorder="1" applyAlignment="1" applyProtection="1">
      <alignment horizontal="center" vertical="center"/>
    </xf>
    <xf numFmtId="165" fontId="28" fillId="0" borderId="22" xfId="7" applyNumberFormat="1" applyFont="1" applyFill="1" applyBorder="1" applyAlignment="1" applyProtection="1">
      <alignment horizontal="center" vertical="center"/>
    </xf>
    <xf numFmtId="165" fontId="29" fillId="0" borderId="22" xfId="7" applyNumberFormat="1" applyFont="1" applyFill="1" applyBorder="1" applyAlignment="1" applyProtection="1">
      <alignment horizontal="center" vertical="center"/>
    </xf>
    <xf numFmtId="165" fontId="28" fillId="0" borderId="44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31" xfId="7" applyNumberFormat="1" applyFont="1" applyFill="1" applyBorder="1" applyAlignment="1" applyProtection="1">
      <alignment horizontal="center" vertical="center"/>
    </xf>
    <xf numFmtId="165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2" xfId="8" applyNumberFormat="1" applyFont="1" applyFill="1" applyBorder="1" applyAlignment="1" applyProtection="1">
      <alignment horizontal="center" vertical="center"/>
    </xf>
    <xf numFmtId="165" fontId="24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horizontal="center" vertical="center"/>
      <protection hidden="1"/>
    </xf>
    <xf numFmtId="164" fontId="20" fillId="0" borderId="24" xfId="8" applyNumberFormat="1" applyFont="1" applyFill="1" applyBorder="1" applyAlignment="1" applyProtection="1">
      <alignment horizontal="center" vertical="center" wrapText="1"/>
    </xf>
    <xf numFmtId="164" fontId="20" fillId="0" borderId="2" xfId="8" applyNumberFormat="1" applyFont="1" applyFill="1" applyBorder="1" applyAlignment="1" applyProtection="1">
      <alignment horizontal="center" vertical="center" wrapText="1"/>
    </xf>
    <xf numFmtId="164" fontId="24" fillId="0" borderId="24" xfId="8" applyNumberFormat="1" applyFont="1" applyFill="1" applyBorder="1" applyAlignment="1" applyProtection="1">
      <alignment horizontal="center" vertical="center" wrapText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</xf>
    <xf numFmtId="165" fontId="20" fillId="0" borderId="7" xfId="8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168" fontId="21" fillId="0" borderId="7" xfId="0" applyNumberFormat="1" applyFont="1" applyFill="1" applyBorder="1" applyAlignment="1" applyProtection="1">
      <alignment horizontal="center" vertical="center"/>
    </xf>
    <xf numFmtId="164" fontId="21" fillId="0" borderId="17" xfId="8" applyNumberFormat="1" applyFont="1" applyFill="1" applyBorder="1" applyAlignment="1" applyProtection="1">
      <alignment horizontal="center" vertical="center" wrapText="1"/>
    </xf>
    <xf numFmtId="168" fontId="21" fillId="0" borderId="5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right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top"/>
    </xf>
    <xf numFmtId="168" fontId="18" fillId="0" borderId="7" xfId="0" applyNumberFormat="1" applyFon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right" wrapText="1"/>
    </xf>
    <xf numFmtId="0" fontId="31" fillId="0" borderId="0" xfId="0" applyNumberFormat="1" applyFont="1" applyFill="1" applyBorder="1" applyAlignment="1" applyProtection="1">
      <alignment horizontal="right" vertical="top"/>
    </xf>
    <xf numFmtId="0" fontId="24" fillId="0" borderId="7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7" applyNumberFormat="1" applyFont="1" applyFill="1" applyBorder="1" applyAlignment="1" applyProtection="1">
      <alignment horizontal="right" vertical="center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8;&#1086;&#1077;&#1082;&#1090;%20%20201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 x14ac:dyDescent="0.2"/>
  <cols>
    <col min="1" max="1" width="17" style="12" customWidth="1"/>
    <col min="2" max="2" width="10.140625" style="12" customWidth="1"/>
    <col min="3" max="3" width="10.140625" style="12" bestFit="1" customWidth="1"/>
    <col min="4" max="4" width="9.140625" style="14" bestFit="1" customWidth="1"/>
    <col min="5" max="5" width="5.140625" style="13" bestFit="1" customWidth="1"/>
    <col min="6" max="6" width="6.85546875" style="13" bestFit="1" customWidth="1"/>
    <col min="7" max="7" width="8.5703125" style="12" customWidth="1"/>
    <col min="8" max="8" width="15.7109375" style="11" customWidth="1"/>
    <col min="9" max="9" width="13.140625" style="10" bestFit="1" customWidth="1"/>
    <col min="10" max="10" width="13.5703125" style="10" bestFit="1" customWidth="1"/>
    <col min="11" max="16384" width="8.7109375" style="10"/>
  </cols>
  <sheetData>
    <row r="1" spans="1:10" x14ac:dyDescent="0.2">
      <c r="A1" s="29" t="s">
        <v>134</v>
      </c>
      <c r="F1" s="410"/>
      <c r="G1" s="411"/>
      <c r="H1" s="411"/>
    </row>
    <row r="2" spans="1:10" ht="13.5" thickBot="1" x14ac:dyDescent="0.25">
      <c r="A2" s="29"/>
      <c r="F2" s="73"/>
      <c r="G2" s="28"/>
      <c r="H2" s="28"/>
    </row>
    <row r="3" spans="1:10" ht="13.5" thickBot="1" x14ac:dyDescent="0.25">
      <c r="A3" s="70" t="s">
        <v>123</v>
      </c>
      <c r="B3" s="70" t="s">
        <v>122</v>
      </c>
      <c r="C3" s="70" t="s">
        <v>121</v>
      </c>
      <c r="D3" s="72" t="s">
        <v>120</v>
      </c>
      <c r="E3" s="71" t="s">
        <v>119</v>
      </c>
      <c r="F3" s="71" t="s">
        <v>118</v>
      </c>
      <c r="G3" s="70" t="s">
        <v>117</v>
      </c>
      <c r="H3" s="69" t="s">
        <v>88</v>
      </c>
    </row>
    <row r="4" spans="1:10" x14ac:dyDescent="0.2">
      <c r="A4" s="68" t="s">
        <v>125</v>
      </c>
      <c r="B4" s="56">
        <v>1</v>
      </c>
      <c r="C4" s="56">
        <v>24</v>
      </c>
      <c r="D4" s="58">
        <v>870</v>
      </c>
      <c r="E4" s="57"/>
      <c r="F4" s="57">
        <v>0.1</v>
      </c>
      <c r="G4" s="56">
        <v>12</v>
      </c>
      <c r="H4" s="55">
        <f>B4*(2+E4+F4)*(C4*D4)*G4</f>
        <v>526176</v>
      </c>
      <c r="I4" s="15"/>
    </row>
    <row r="5" spans="1:10" x14ac:dyDescent="0.2">
      <c r="A5" s="67" t="s">
        <v>125</v>
      </c>
      <c r="B5" s="54"/>
      <c r="C5" s="51"/>
      <c r="D5" s="53">
        <v>0.26200000000000001</v>
      </c>
      <c r="E5" s="32"/>
      <c r="F5" s="32"/>
      <c r="G5" s="19">
        <v>12</v>
      </c>
      <c r="H5" s="52">
        <f>H4*D5</f>
        <v>137858.11199999999</v>
      </c>
      <c r="I5" s="15"/>
      <c r="J5" s="17">
        <f>H4+H5</f>
        <v>664034.11199999996</v>
      </c>
    </row>
    <row r="6" spans="1:10" x14ac:dyDescent="0.2">
      <c r="A6" s="27" t="s">
        <v>124</v>
      </c>
      <c r="B6" s="19">
        <v>1</v>
      </c>
      <c r="C6" s="51">
        <v>18</v>
      </c>
      <c r="D6" s="21">
        <v>870</v>
      </c>
      <c r="E6" s="32">
        <v>0.1</v>
      </c>
      <c r="F6" s="32">
        <v>0.1</v>
      </c>
      <c r="G6" s="19">
        <v>12</v>
      </c>
      <c r="H6" s="49">
        <f>B6*(2+E6+F6)*(C6*D6)*G6</f>
        <v>413424</v>
      </c>
      <c r="I6" s="15"/>
      <c r="J6" s="15"/>
    </row>
    <row r="7" spans="1:10" x14ac:dyDescent="0.2">
      <c r="A7" s="22" t="s">
        <v>131</v>
      </c>
      <c r="B7" s="19">
        <v>1</v>
      </c>
      <c r="C7" s="51">
        <v>18</v>
      </c>
      <c r="D7" s="21">
        <v>870</v>
      </c>
      <c r="E7" s="32">
        <v>0.1</v>
      </c>
      <c r="F7" s="32">
        <v>0.1</v>
      </c>
      <c r="G7" s="19">
        <v>12</v>
      </c>
      <c r="H7" s="49">
        <f>B7*(2+E7+F7)*(C7*D7)*G7</f>
        <v>413424</v>
      </c>
      <c r="I7" s="15"/>
      <c r="J7" s="15"/>
    </row>
    <row r="8" spans="1:10" x14ac:dyDescent="0.2">
      <c r="A8" s="45" t="s">
        <v>110</v>
      </c>
      <c r="B8" s="41">
        <v>1</v>
      </c>
      <c r="C8" s="44">
        <v>12</v>
      </c>
      <c r="D8" s="21">
        <v>870</v>
      </c>
      <c r="E8" s="42"/>
      <c r="F8" s="42">
        <v>0.1</v>
      </c>
      <c r="G8" s="19">
        <v>12</v>
      </c>
      <c r="H8" s="49">
        <f>B8*(2+E8+F8)*(C8*D8)*G8</f>
        <v>263088</v>
      </c>
      <c r="I8" s="15"/>
    </row>
    <row r="9" spans="1:10" x14ac:dyDescent="0.2">
      <c r="A9" s="22" t="s">
        <v>132</v>
      </c>
      <c r="B9" s="19">
        <f>SUM(B6:B8)</f>
        <v>3</v>
      </c>
      <c r="C9" s="51"/>
      <c r="D9" s="21"/>
      <c r="E9" s="32"/>
      <c r="F9" s="32"/>
      <c r="G9" s="19"/>
      <c r="H9" s="49">
        <f>SUM(H6:H8)</f>
        <v>1089936</v>
      </c>
      <c r="I9" s="15"/>
      <c r="J9" s="15"/>
    </row>
    <row r="10" spans="1:10" ht="13.5" thickBot="1" x14ac:dyDescent="0.25">
      <c r="A10" s="22" t="s">
        <v>132</v>
      </c>
      <c r="B10" s="39"/>
      <c r="C10" s="38"/>
      <c r="D10" s="37">
        <v>0.26200000000000001</v>
      </c>
      <c r="E10" s="36"/>
      <c r="F10" s="36"/>
      <c r="G10" s="35"/>
      <c r="H10" s="34">
        <f>H9*D10</f>
        <v>285563.23200000002</v>
      </c>
      <c r="I10" s="15"/>
      <c r="J10" s="17">
        <f>H9+H10</f>
        <v>1375499.2320000001</v>
      </c>
    </row>
    <row r="11" spans="1:10" x14ac:dyDescent="0.2">
      <c r="A11" s="27"/>
      <c r="B11" s="19"/>
      <c r="C11" s="51"/>
      <c r="D11" s="21"/>
      <c r="E11" s="32"/>
      <c r="F11" s="32"/>
      <c r="G11" s="19"/>
      <c r="H11" s="49"/>
      <c r="I11" s="15"/>
      <c r="J11" s="15"/>
    </row>
    <row r="12" spans="1:10" ht="13.5" thickBot="1" x14ac:dyDescent="0.25">
      <c r="A12" s="66"/>
      <c r="B12" s="39"/>
      <c r="C12" s="38"/>
      <c r="D12" s="37"/>
      <c r="E12" s="36"/>
      <c r="F12" s="36"/>
      <c r="G12" s="35"/>
      <c r="H12" s="34"/>
      <c r="I12" s="15"/>
      <c r="J12" s="17"/>
    </row>
    <row r="13" spans="1:10" ht="13.5" thickBot="1" x14ac:dyDescent="0.25">
      <c r="B13" s="28"/>
      <c r="C13" s="65"/>
      <c r="E13" s="33"/>
      <c r="F13" s="33"/>
      <c r="G13" s="28"/>
      <c r="I13" s="15"/>
    </row>
    <row r="14" spans="1:10" ht="13.5" thickBot="1" x14ac:dyDescent="0.25">
      <c r="A14" s="64" t="s">
        <v>123</v>
      </c>
      <c r="B14" s="64" t="s">
        <v>122</v>
      </c>
      <c r="C14" s="64" t="s">
        <v>121</v>
      </c>
      <c r="D14" s="63" t="s">
        <v>120</v>
      </c>
      <c r="E14" s="62" t="s">
        <v>119</v>
      </c>
      <c r="F14" s="62" t="s">
        <v>118</v>
      </c>
      <c r="G14" s="61" t="s">
        <v>117</v>
      </c>
      <c r="H14" s="60" t="s">
        <v>88</v>
      </c>
      <c r="I14" s="15"/>
    </row>
    <row r="15" spans="1:10" x14ac:dyDescent="0.2">
      <c r="A15" s="59" t="s">
        <v>116</v>
      </c>
      <c r="B15" s="56">
        <v>1</v>
      </c>
      <c r="C15" s="56">
        <v>24</v>
      </c>
      <c r="D15" s="58">
        <v>870</v>
      </c>
      <c r="E15" s="57">
        <v>0.2</v>
      </c>
      <c r="F15" s="57">
        <v>0.25</v>
      </c>
      <c r="G15" s="56">
        <v>12</v>
      </c>
      <c r="H15" s="55">
        <f>(B15*2+E15+F15)*(C15*D15)*G15</f>
        <v>613872.00000000012</v>
      </c>
      <c r="I15" s="15"/>
    </row>
    <row r="16" spans="1:10" ht="15.75" thickBot="1" x14ac:dyDescent="0.25">
      <c r="A16" s="39" t="s">
        <v>116</v>
      </c>
      <c r="B16" s="39"/>
      <c r="C16" s="38"/>
      <c r="D16" s="37">
        <v>0.26200000000000001</v>
      </c>
      <c r="E16" s="36"/>
      <c r="F16" s="36"/>
      <c r="G16" s="35">
        <v>12</v>
      </c>
      <c r="H16" s="77">
        <f>H15*D16</f>
        <v>160834.46400000004</v>
      </c>
      <c r="I16" s="15"/>
      <c r="J16" s="17">
        <f>H16+H15</f>
        <v>774706.46400000015</v>
      </c>
    </row>
    <row r="17" spans="1:10" ht="15" x14ac:dyDescent="0.2">
      <c r="A17" s="73"/>
      <c r="B17" s="86"/>
      <c r="C17" s="80"/>
      <c r="D17" s="87"/>
      <c r="E17" s="82"/>
      <c r="F17" s="82"/>
      <c r="G17" s="83"/>
      <c r="H17" s="88"/>
      <c r="I17" s="15"/>
      <c r="J17" s="17"/>
    </row>
    <row r="18" spans="1:10" x14ac:dyDescent="0.2">
      <c r="A18" s="29" t="s">
        <v>115</v>
      </c>
      <c r="B18" s="56">
        <v>1</v>
      </c>
      <c r="C18" s="76">
        <v>20</v>
      </c>
      <c r="D18" s="58">
        <v>870</v>
      </c>
      <c r="E18" s="57">
        <v>0.2</v>
      </c>
      <c r="F18" s="57">
        <v>0.15</v>
      </c>
      <c r="G18" s="56">
        <v>12</v>
      </c>
      <c r="H18" s="55">
        <f t="shared" ref="H18:H24" si="0">B18*(2+E18+F18)*(C18*D18)*G18</f>
        <v>490680</v>
      </c>
      <c r="I18" s="15"/>
    </row>
    <row r="19" spans="1:10" x14ac:dyDescent="0.2">
      <c r="A19" s="27" t="s">
        <v>114</v>
      </c>
      <c r="B19" s="41">
        <v>1</v>
      </c>
      <c r="C19" s="44">
        <v>20</v>
      </c>
      <c r="D19" s="43">
        <v>870</v>
      </c>
      <c r="E19" s="42">
        <v>0.2</v>
      </c>
      <c r="F19" s="42">
        <v>0.1</v>
      </c>
      <c r="G19" s="19">
        <v>12</v>
      </c>
      <c r="H19" s="49">
        <f>B19*(2+E19+F19)*(C19*D19)*G19</f>
        <v>480240.00000000012</v>
      </c>
      <c r="I19" s="15"/>
    </row>
    <row r="20" spans="1:10" x14ac:dyDescent="0.2">
      <c r="A20" s="45" t="s">
        <v>113</v>
      </c>
      <c r="B20" s="41">
        <v>1</v>
      </c>
      <c r="C20" s="44">
        <v>18</v>
      </c>
      <c r="D20" s="43">
        <v>870</v>
      </c>
      <c r="E20" s="42">
        <v>0.2</v>
      </c>
      <c r="F20" s="42">
        <v>0.1</v>
      </c>
      <c r="G20" s="19">
        <v>12</v>
      </c>
      <c r="H20" s="49">
        <f t="shared" si="0"/>
        <v>432216.00000000012</v>
      </c>
      <c r="I20" s="15"/>
      <c r="J20" s="15"/>
    </row>
    <row r="21" spans="1:10" x14ac:dyDescent="0.2">
      <c r="A21" s="45" t="s">
        <v>113</v>
      </c>
      <c r="B21" s="41">
        <v>1</v>
      </c>
      <c r="C21" s="44">
        <v>18</v>
      </c>
      <c r="D21" s="43">
        <v>870</v>
      </c>
      <c r="E21" s="42">
        <v>0.2</v>
      </c>
      <c r="F21" s="42">
        <v>0.15</v>
      </c>
      <c r="G21" s="19">
        <v>12</v>
      </c>
      <c r="H21" s="49">
        <f>B21*(2+E21+F21)*(C21*D21)*G21</f>
        <v>441612</v>
      </c>
      <c r="I21" s="15"/>
      <c r="J21" s="15"/>
    </row>
    <row r="22" spans="1:10" x14ac:dyDescent="0.2">
      <c r="A22" s="45" t="s">
        <v>112</v>
      </c>
      <c r="B22" s="41">
        <v>1</v>
      </c>
      <c r="C22" s="44">
        <v>16</v>
      </c>
      <c r="D22" s="21">
        <v>870</v>
      </c>
      <c r="E22" s="50">
        <f>(10*0.5)%</f>
        <v>0.05</v>
      </c>
      <c r="F22" s="42">
        <v>0.15</v>
      </c>
      <c r="G22" s="19">
        <v>12</v>
      </c>
      <c r="H22" s="49">
        <f t="shared" si="0"/>
        <v>367487.99999999994</v>
      </c>
      <c r="I22" s="15"/>
    </row>
    <row r="23" spans="1:10" x14ac:dyDescent="0.2">
      <c r="A23" s="45" t="s">
        <v>112</v>
      </c>
      <c r="B23" s="41">
        <v>1</v>
      </c>
      <c r="C23" s="44">
        <v>16</v>
      </c>
      <c r="D23" s="21">
        <v>870</v>
      </c>
      <c r="E23" s="50">
        <v>0.2</v>
      </c>
      <c r="F23" s="42">
        <v>0.25</v>
      </c>
      <c r="G23" s="19">
        <v>12</v>
      </c>
      <c r="H23" s="49">
        <f>B23*(2+E23+F23)*(C23*D23)*G23</f>
        <v>409248</v>
      </c>
      <c r="I23" s="15"/>
    </row>
    <row r="24" spans="1:10" x14ac:dyDescent="0.2">
      <c r="A24" s="45" t="s">
        <v>111</v>
      </c>
      <c r="B24" s="41">
        <v>1</v>
      </c>
      <c r="C24" s="44">
        <v>14</v>
      </c>
      <c r="D24" s="21">
        <v>870</v>
      </c>
      <c r="E24" s="42"/>
      <c r="F24" s="42">
        <v>0.1</v>
      </c>
      <c r="G24" s="19">
        <v>12</v>
      </c>
      <c r="H24" s="49">
        <f t="shared" si="0"/>
        <v>306936</v>
      </c>
      <c r="I24" s="15"/>
    </row>
    <row r="25" spans="1:10" x14ac:dyDescent="0.2">
      <c r="A25" s="45" t="s">
        <v>109</v>
      </c>
      <c r="B25" s="48">
        <v>2</v>
      </c>
      <c r="C25" s="44"/>
      <c r="D25" s="47">
        <f>20760+9100</f>
        <v>29860</v>
      </c>
      <c r="E25" s="42"/>
      <c r="F25" s="42"/>
      <c r="G25" s="19">
        <v>12</v>
      </c>
      <c r="H25" s="46">
        <f>D25*G25</f>
        <v>358320</v>
      </c>
      <c r="I25" s="15"/>
    </row>
    <row r="26" spans="1:10" x14ac:dyDescent="0.2">
      <c r="A26" s="45"/>
      <c r="B26" s="48"/>
      <c r="C26" s="44"/>
      <c r="D26" s="74"/>
      <c r="E26" s="42"/>
      <c r="F26" s="42"/>
      <c r="G26" s="41"/>
      <c r="H26" s="75">
        <f>SUM(H18:H25)</f>
        <v>3286740</v>
      </c>
      <c r="I26" s="15"/>
    </row>
    <row r="27" spans="1:10" ht="13.5" thickBot="1" x14ac:dyDescent="0.25">
      <c r="A27" s="40" t="s">
        <v>107</v>
      </c>
      <c r="B27" s="39"/>
      <c r="C27" s="38"/>
      <c r="D27" s="37">
        <v>0.26200000000000001</v>
      </c>
      <c r="E27" s="36"/>
      <c r="F27" s="36"/>
      <c r="G27" s="35">
        <v>12</v>
      </c>
      <c r="H27" s="85">
        <f>H26*D27</f>
        <v>861125.88</v>
      </c>
      <c r="I27" s="15"/>
      <c r="J27" s="17">
        <f>H27+H26</f>
        <v>4147865.88</v>
      </c>
    </row>
    <row r="28" spans="1:10" x14ac:dyDescent="0.2">
      <c r="A28" s="78"/>
      <c r="B28" s="79"/>
      <c r="C28" s="80"/>
      <c r="D28" s="81"/>
      <c r="E28" s="82"/>
      <c r="F28" s="82"/>
      <c r="G28" s="83"/>
      <c r="H28" s="84"/>
      <c r="I28" s="15"/>
    </row>
    <row r="29" spans="1:10" x14ac:dyDescent="0.2">
      <c r="A29" s="45" t="s">
        <v>108</v>
      </c>
      <c r="B29" s="41"/>
      <c r="C29" s="44"/>
      <c r="D29" s="43"/>
      <c r="E29" s="42"/>
      <c r="F29" s="42"/>
      <c r="G29" s="41"/>
      <c r="H29" s="49">
        <f>H30+H31</f>
        <v>396575.92800000001</v>
      </c>
      <c r="I29" s="15"/>
    </row>
    <row r="30" spans="1:10" x14ac:dyDescent="0.2">
      <c r="A30" s="45" t="s">
        <v>111</v>
      </c>
      <c r="B30" s="41">
        <v>1</v>
      </c>
      <c r="C30" s="44">
        <v>14</v>
      </c>
      <c r="D30" s="43">
        <v>870</v>
      </c>
      <c r="E30" s="42"/>
      <c r="F30" s="42">
        <v>0.15</v>
      </c>
      <c r="G30" s="41">
        <f>12</f>
        <v>12</v>
      </c>
      <c r="H30" s="49">
        <f>B30*(2+E30+F30)*(C30*D30)*G30</f>
        <v>314244</v>
      </c>
      <c r="I30" s="15"/>
      <c r="J30" s="15"/>
    </row>
    <row r="31" spans="1:10" ht="13.5" thickBot="1" x14ac:dyDescent="0.25">
      <c r="A31" s="40"/>
      <c r="B31" s="35"/>
      <c r="C31" s="38"/>
      <c r="D31" s="89">
        <v>0.26200000000000001</v>
      </c>
      <c r="E31" s="36"/>
      <c r="F31" s="36"/>
      <c r="G31" s="35">
        <v>12</v>
      </c>
      <c r="H31" s="85">
        <f>H30*D31</f>
        <v>82331.928</v>
      </c>
      <c r="I31" s="15"/>
      <c r="J31" s="17">
        <f>H30+H31</f>
        <v>396575.92800000001</v>
      </c>
    </row>
    <row r="32" spans="1:10" x14ac:dyDescent="0.2">
      <c r="A32" s="90" t="s">
        <v>128</v>
      </c>
      <c r="B32" s="91"/>
      <c r="C32" s="92"/>
      <c r="D32" s="93"/>
      <c r="E32" s="94"/>
      <c r="F32" s="94"/>
      <c r="G32" s="91"/>
      <c r="H32" s="95">
        <f>H15+H26+H29</f>
        <v>4297187.9280000003</v>
      </c>
      <c r="I32" s="15"/>
      <c r="J32" s="17"/>
    </row>
    <row r="33" spans="1:10" x14ac:dyDescent="0.2">
      <c r="A33" s="96" t="s">
        <v>129</v>
      </c>
      <c r="B33" s="97"/>
      <c r="C33" s="98"/>
      <c r="D33" s="99"/>
      <c r="E33" s="100"/>
      <c r="F33" s="100"/>
      <c r="G33" s="97"/>
      <c r="H33" s="101">
        <f>H16+H27+H31</f>
        <v>1104292.2720000001</v>
      </c>
      <c r="I33" s="15"/>
      <c r="J33" s="17">
        <f>H32+H33</f>
        <v>5401480.2000000002</v>
      </c>
    </row>
    <row r="34" spans="1:10" x14ac:dyDescent="0.2">
      <c r="A34" s="12">
        <v>221</v>
      </c>
      <c r="C34" s="28"/>
      <c r="E34" s="33"/>
      <c r="F34" s="33"/>
      <c r="G34" s="28"/>
    </row>
    <row r="35" spans="1:10" x14ac:dyDescent="0.2">
      <c r="A35" s="24" t="s">
        <v>135</v>
      </c>
      <c r="B35" s="23">
        <v>3000</v>
      </c>
      <c r="C35" s="19"/>
      <c r="D35" s="21"/>
      <c r="E35" s="32"/>
      <c r="F35" s="32"/>
      <c r="G35" s="19">
        <v>12</v>
      </c>
      <c r="H35" s="18">
        <f>B35*G35</f>
        <v>36000</v>
      </c>
    </row>
    <row r="36" spans="1:10" x14ac:dyDescent="0.2">
      <c r="A36" s="24" t="s">
        <v>106</v>
      </c>
      <c r="B36" s="23">
        <v>6850</v>
      </c>
      <c r="C36" s="22"/>
      <c r="D36" s="21"/>
      <c r="E36" s="20"/>
      <c r="F36" s="20"/>
      <c r="G36" s="19">
        <v>12</v>
      </c>
      <c r="H36" s="18">
        <f>B36*G36</f>
        <v>82200</v>
      </c>
    </row>
    <row r="37" spans="1:10" x14ac:dyDescent="0.2">
      <c r="A37" s="24" t="s">
        <v>105</v>
      </c>
      <c r="B37" s="23">
        <v>500</v>
      </c>
      <c r="C37" s="22"/>
      <c r="D37" s="21"/>
      <c r="E37" s="20"/>
      <c r="F37" s="20"/>
      <c r="G37" s="19">
        <v>12</v>
      </c>
      <c r="H37" s="18">
        <f>B37*G37</f>
        <v>6000</v>
      </c>
    </row>
    <row r="38" spans="1:10" x14ac:dyDescent="0.2">
      <c r="A38" s="22"/>
      <c r="B38" s="23"/>
      <c r="C38" s="22"/>
      <c r="D38" s="21"/>
      <c r="E38" s="20"/>
      <c r="F38" s="20"/>
      <c r="G38" s="22"/>
      <c r="H38" s="101">
        <f>SUM(H35:H37)</f>
        <v>124200</v>
      </c>
      <c r="J38" s="15">
        <f>H39</f>
        <v>0</v>
      </c>
    </row>
    <row r="39" spans="1:10" x14ac:dyDescent="0.2">
      <c r="A39" s="12">
        <v>222</v>
      </c>
      <c r="B39" s="25"/>
      <c r="H39" s="18"/>
    </row>
    <row r="40" spans="1:10" x14ac:dyDescent="0.2">
      <c r="A40" s="24" t="s">
        <v>90</v>
      </c>
      <c r="B40" s="23">
        <v>6000</v>
      </c>
      <c r="C40" s="22"/>
      <c r="D40" s="21"/>
      <c r="E40" s="20"/>
      <c r="F40" s="20"/>
      <c r="G40" s="19">
        <v>12</v>
      </c>
      <c r="H40" s="18">
        <f>H41+H42</f>
        <v>72000</v>
      </c>
    </row>
    <row r="41" spans="1:10" x14ac:dyDescent="0.2">
      <c r="A41" s="29" t="s">
        <v>133</v>
      </c>
      <c r="B41" s="25"/>
      <c r="G41" s="28">
        <v>1</v>
      </c>
      <c r="H41" s="11">
        <f>B41*G41</f>
        <v>0</v>
      </c>
    </row>
    <row r="42" spans="1:10" x14ac:dyDescent="0.2">
      <c r="A42" s="24" t="s">
        <v>104</v>
      </c>
      <c r="B42" s="23">
        <v>6000</v>
      </c>
      <c r="C42" s="22"/>
      <c r="D42" s="21"/>
      <c r="E42" s="20"/>
      <c r="F42" s="20"/>
      <c r="G42" s="19">
        <v>12</v>
      </c>
      <c r="H42" s="18">
        <f>B42*G42</f>
        <v>72000</v>
      </c>
    </row>
    <row r="43" spans="1:10" ht="12" customHeight="1" x14ac:dyDescent="0.2">
      <c r="A43" s="12">
        <v>223</v>
      </c>
      <c r="B43" s="25"/>
      <c r="H43" s="18"/>
    </row>
    <row r="44" spans="1:10" x14ac:dyDescent="0.2">
      <c r="A44" s="24" t="s">
        <v>103</v>
      </c>
      <c r="B44" s="23"/>
      <c r="C44" s="22"/>
      <c r="D44" s="31">
        <v>4715</v>
      </c>
      <c r="E44" s="20"/>
      <c r="F44" s="30"/>
      <c r="G44" s="19">
        <v>12</v>
      </c>
      <c r="H44" s="11">
        <f>D44*G44</f>
        <v>56580</v>
      </c>
    </row>
    <row r="45" spans="1:10" x14ac:dyDescent="0.2">
      <c r="A45" s="24" t="s">
        <v>102</v>
      </c>
      <c r="B45" s="23"/>
      <c r="C45" s="22"/>
      <c r="D45" s="31">
        <v>5950</v>
      </c>
      <c r="E45" s="20"/>
      <c r="F45" s="30"/>
      <c r="G45" s="19">
        <v>12</v>
      </c>
      <c r="H45" s="18">
        <f>D45*G45</f>
        <v>71400</v>
      </c>
      <c r="I45" s="15"/>
    </row>
    <row r="46" spans="1:10" ht="13.5" thickBot="1" x14ac:dyDescent="0.25">
      <c r="B46" s="25"/>
      <c r="H46" s="18">
        <f>SUM(H44:H45)</f>
        <v>127980</v>
      </c>
      <c r="J46" s="15">
        <f>H47</f>
        <v>0</v>
      </c>
    </row>
    <row r="47" spans="1:10" ht="13.5" thickBot="1" x14ac:dyDescent="0.25">
      <c r="A47" s="12">
        <v>225</v>
      </c>
      <c r="B47" s="25"/>
      <c r="H47" s="26"/>
    </row>
    <row r="48" spans="1:10" x14ac:dyDescent="0.2">
      <c r="A48" s="24" t="s">
        <v>101</v>
      </c>
      <c r="B48" s="23">
        <f>40000</f>
        <v>40000</v>
      </c>
      <c r="C48" s="22"/>
      <c r="D48" s="21"/>
      <c r="E48" s="20"/>
      <c r="F48" s="20"/>
      <c r="G48" s="19">
        <v>1</v>
      </c>
      <c r="H48" s="11">
        <f>B48</f>
        <v>40000</v>
      </c>
    </row>
    <row r="49" spans="1:10" x14ac:dyDescent="0.2">
      <c r="A49" s="24" t="s">
        <v>100</v>
      </c>
      <c r="B49" s="23">
        <f>5000*1.1</f>
        <v>5500</v>
      </c>
      <c r="C49" s="22"/>
      <c r="D49" s="21"/>
      <c r="E49" s="20"/>
      <c r="F49" s="20"/>
      <c r="G49" s="19">
        <v>12</v>
      </c>
      <c r="H49" s="18">
        <f>B49*G49</f>
        <v>66000</v>
      </c>
    </row>
    <row r="50" spans="1:10" x14ac:dyDescent="0.2">
      <c r="A50" s="29"/>
      <c r="B50" s="25"/>
      <c r="G50" s="28"/>
      <c r="H50" s="18">
        <f>SUM(H48:H49)</f>
        <v>106000</v>
      </c>
      <c r="J50" s="15">
        <f>H51</f>
        <v>0</v>
      </c>
    </row>
    <row r="51" spans="1:10" x14ac:dyDescent="0.2">
      <c r="A51" s="12">
        <v>226</v>
      </c>
      <c r="B51" s="25"/>
    </row>
    <row r="52" spans="1:10" x14ac:dyDescent="0.2">
      <c r="A52" s="24" t="s">
        <v>99</v>
      </c>
      <c r="B52" s="23">
        <f>10000</f>
        <v>10000</v>
      </c>
      <c r="C52" s="22"/>
      <c r="D52" s="21"/>
      <c r="E52" s="20"/>
      <c r="F52" s="20"/>
      <c r="G52" s="19">
        <v>12</v>
      </c>
      <c r="H52" s="18">
        <f>B52*G52</f>
        <v>120000</v>
      </c>
    </row>
    <row r="53" spans="1:10" x14ac:dyDescent="0.2">
      <c r="A53" s="24" t="s">
        <v>99</v>
      </c>
      <c r="B53" s="23">
        <v>0</v>
      </c>
      <c r="C53" s="22"/>
      <c r="D53" s="21"/>
      <c r="E53" s="20"/>
      <c r="F53" s="20"/>
      <c r="G53" s="19">
        <v>7</v>
      </c>
      <c r="H53" s="18">
        <f t="shared" ref="H53:H58" si="1">B53*G53</f>
        <v>0</v>
      </c>
    </row>
    <row r="54" spans="1:10" x14ac:dyDescent="0.2">
      <c r="A54" s="24" t="s">
        <v>98</v>
      </c>
      <c r="B54" s="23">
        <v>2310</v>
      </c>
      <c r="C54" s="22"/>
      <c r="D54" s="21"/>
      <c r="E54" s="20"/>
      <c r="F54" s="20"/>
      <c r="G54" s="19">
        <v>12</v>
      </c>
      <c r="H54" s="18">
        <f t="shared" si="1"/>
        <v>27720</v>
      </c>
    </row>
    <row r="55" spans="1:10" x14ac:dyDescent="0.2">
      <c r="A55" s="24" t="s">
        <v>97</v>
      </c>
      <c r="B55" s="23">
        <v>10230</v>
      </c>
      <c r="C55" s="22"/>
      <c r="D55" s="21"/>
      <c r="E55" s="20"/>
      <c r="F55" s="20"/>
      <c r="G55" s="19">
        <v>12</v>
      </c>
      <c r="H55" s="18">
        <f>B55*G55+4400+25000-100</f>
        <v>152060</v>
      </c>
    </row>
    <row r="56" spans="1:10" x14ac:dyDescent="0.2">
      <c r="A56" s="24" t="s">
        <v>96</v>
      </c>
      <c r="B56" s="23">
        <v>5500</v>
      </c>
      <c r="C56" s="22"/>
      <c r="D56" s="21"/>
      <c r="E56" s="20"/>
      <c r="F56" s="20"/>
      <c r="G56" s="19">
        <v>12</v>
      </c>
      <c r="H56" s="18">
        <f t="shared" si="1"/>
        <v>66000</v>
      </c>
    </row>
    <row r="57" spans="1:10" x14ac:dyDescent="0.2">
      <c r="A57" s="24" t="s">
        <v>95</v>
      </c>
      <c r="B57" s="23">
        <v>4400</v>
      </c>
      <c r="C57" s="22"/>
      <c r="D57" s="21"/>
      <c r="E57" s="20"/>
      <c r="F57" s="20"/>
      <c r="G57" s="19">
        <v>1</v>
      </c>
      <c r="H57" s="18">
        <f t="shared" si="1"/>
        <v>4400</v>
      </c>
    </row>
    <row r="58" spans="1:10" ht="13.5" thickBot="1" x14ac:dyDescent="0.25">
      <c r="A58" s="27" t="s">
        <v>94</v>
      </c>
      <c r="B58" s="23">
        <f>200000</f>
        <v>200000</v>
      </c>
      <c r="C58" s="22"/>
      <c r="D58" s="21"/>
      <c r="E58" s="20"/>
      <c r="F58" s="20"/>
      <c r="G58" s="19">
        <v>1</v>
      </c>
      <c r="H58" s="18">
        <f t="shared" si="1"/>
        <v>200000</v>
      </c>
    </row>
    <row r="59" spans="1:10" ht="13.5" thickBot="1" x14ac:dyDescent="0.25">
      <c r="B59" s="25"/>
      <c r="H59" s="26">
        <f>SUM(H52:H58)</f>
        <v>570180</v>
      </c>
      <c r="J59" s="15">
        <f>H60</f>
        <v>0</v>
      </c>
    </row>
    <row r="60" spans="1:10" ht="13.5" thickBot="1" x14ac:dyDescent="0.25">
      <c r="A60" s="12">
        <v>290</v>
      </c>
      <c r="B60" s="25"/>
      <c r="H60" s="26"/>
    </row>
    <row r="61" spans="1:10" x14ac:dyDescent="0.2">
      <c r="A61" s="24" t="s">
        <v>93</v>
      </c>
      <c r="B61" s="23">
        <v>20000</v>
      </c>
      <c r="C61" s="22"/>
      <c r="D61" s="21"/>
      <c r="E61" s="20"/>
      <c r="F61" s="20"/>
      <c r="G61" s="19">
        <v>1</v>
      </c>
      <c r="H61" s="11">
        <f>B61*G61</f>
        <v>20000</v>
      </c>
      <c r="J61" s="15">
        <f>H62</f>
        <v>0</v>
      </c>
    </row>
    <row r="62" spans="1:10" x14ac:dyDescent="0.2">
      <c r="A62" s="12">
        <v>310</v>
      </c>
      <c r="B62" s="25"/>
      <c r="H62" s="18"/>
      <c r="I62" s="10">
        <v>200</v>
      </c>
      <c r="J62" s="17">
        <f>SUM(J38:J61)</f>
        <v>0</v>
      </c>
    </row>
    <row r="63" spans="1:10" x14ac:dyDescent="0.2">
      <c r="A63" s="24" t="s">
        <v>92</v>
      </c>
      <c r="B63" s="102">
        <v>190000</v>
      </c>
      <c r="C63" s="22"/>
      <c r="D63" s="21"/>
      <c r="E63" s="20"/>
      <c r="F63" s="20"/>
      <c r="G63" s="19">
        <v>1</v>
      </c>
      <c r="H63" s="11">
        <f>B63*G63</f>
        <v>190000</v>
      </c>
      <c r="J63" s="15">
        <f>H64</f>
        <v>0</v>
      </c>
    </row>
    <row r="64" spans="1:10" x14ac:dyDescent="0.2">
      <c r="A64" s="12">
        <v>340</v>
      </c>
      <c r="B64" s="25"/>
      <c r="H64" s="18"/>
    </row>
    <row r="65" spans="1:10" x14ac:dyDescent="0.2">
      <c r="A65" s="24" t="s">
        <v>91</v>
      </c>
      <c r="B65" s="23">
        <v>210800</v>
      </c>
      <c r="C65" s="22"/>
      <c r="D65" s="21"/>
      <c r="E65" s="20"/>
      <c r="F65" s="20"/>
      <c r="G65" s="19">
        <v>1</v>
      </c>
      <c r="H65" s="11">
        <f>B65*G65</f>
        <v>210800</v>
      </c>
      <c r="J65" s="15">
        <f>H66</f>
        <v>0</v>
      </c>
    </row>
    <row r="66" spans="1:10" x14ac:dyDescent="0.2">
      <c r="B66" s="16"/>
      <c r="H66" s="18"/>
      <c r="I66" s="10">
        <v>300</v>
      </c>
      <c r="J66" s="17">
        <f>SUM(J63:J65)</f>
        <v>0</v>
      </c>
    </row>
    <row r="67" spans="1:10" x14ac:dyDescent="0.2">
      <c r="B67" s="16"/>
    </row>
    <row r="68" spans="1:10" x14ac:dyDescent="0.2">
      <c r="B68" s="16"/>
      <c r="I68" s="10" t="s">
        <v>90</v>
      </c>
      <c r="J68" s="15">
        <f>J7+J10+J16+J31+J62+J66</f>
        <v>2546781.6240000003</v>
      </c>
    </row>
    <row r="70" spans="1:10" x14ac:dyDescent="0.2">
      <c r="J70" s="15">
        <f>J68/1000</f>
        <v>2546.7816240000002</v>
      </c>
    </row>
    <row r="72" spans="1:10" x14ac:dyDescent="0.2">
      <c r="J72" s="15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 x14ac:dyDescent="0.2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261"/>
    <col min="20" max="16384" width="9.140625" style="2"/>
  </cols>
  <sheetData>
    <row r="1" spans="1:19" ht="21" customHeight="1" x14ac:dyDescent="0.2">
      <c r="A1" s="119" t="s">
        <v>218</v>
      </c>
      <c r="B1" s="120"/>
      <c r="C1" s="414" t="s">
        <v>323</v>
      </c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9" ht="21" customHeight="1" x14ac:dyDescent="0.2">
      <c r="A2" s="116"/>
      <c r="B2" s="121"/>
      <c r="C2" s="121"/>
      <c r="D2" s="121"/>
      <c r="E2" s="121"/>
      <c r="F2" s="121"/>
      <c r="G2" s="121"/>
      <c r="H2" s="121"/>
      <c r="I2" s="121"/>
      <c r="J2" s="122" t="s">
        <v>423</v>
      </c>
      <c r="K2" s="121"/>
      <c r="L2" s="121"/>
      <c r="M2" s="121"/>
      <c r="N2" s="121"/>
      <c r="O2" s="121"/>
      <c r="P2" s="121"/>
    </row>
    <row r="3" spans="1:19" ht="21" customHeight="1" x14ac:dyDescent="0.2">
      <c r="A3" s="116"/>
      <c r="B3" s="121"/>
      <c r="C3" s="121"/>
      <c r="D3" s="121"/>
      <c r="E3" s="121"/>
      <c r="F3" s="121"/>
      <c r="G3" s="121"/>
      <c r="H3" s="121"/>
      <c r="I3" s="121"/>
      <c r="J3" s="122" t="s">
        <v>424</v>
      </c>
      <c r="K3" s="121"/>
      <c r="L3" s="121"/>
      <c r="M3" s="121"/>
      <c r="N3" s="121"/>
      <c r="O3" s="121"/>
      <c r="P3" s="121"/>
    </row>
    <row r="4" spans="1:19" ht="22.5" customHeight="1" x14ac:dyDescent="0.2">
      <c r="A4" s="116"/>
      <c r="B4" s="116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</row>
    <row r="5" spans="1:19" ht="22.5" customHeight="1" x14ac:dyDescent="0.2">
      <c r="A5" s="412" t="s">
        <v>414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</row>
    <row r="6" spans="1:19" ht="27.6" customHeight="1" x14ac:dyDescent="0.2">
      <c r="A6" s="412" t="s">
        <v>425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</row>
    <row r="7" spans="1:19" ht="27.6" customHeight="1" thickBot="1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413" t="s">
        <v>398</v>
      </c>
      <c r="P7" s="413"/>
    </row>
    <row r="8" spans="1:19" s="7" customFormat="1" ht="61.5" customHeight="1" thickBot="1" x14ac:dyDescent="0.25">
      <c r="A8" s="124" t="s">
        <v>0</v>
      </c>
      <c r="B8" s="124" t="s">
        <v>10</v>
      </c>
      <c r="C8" s="125" t="s">
        <v>1</v>
      </c>
      <c r="D8" s="126" t="s">
        <v>215</v>
      </c>
      <c r="E8" s="126" t="s">
        <v>219</v>
      </c>
      <c r="F8" s="126" t="s">
        <v>216</v>
      </c>
      <c r="G8" s="126" t="s">
        <v>295</v>
      </c>
      <c r="H8" s="126" t="s">
        <v>321</v>
      </c>
      <c r="I8" s="126" t="s">
        <v>258</v>
      </c>
      <c r="J8" s="126" t="s">
        <v>322</v>
      </c>
      <c r="K8" s="127" t="s">
        <v>254</v>
      </c>
      <c r="L8" s="128" t="s">
        <v>259</v>
      </c>
      <c r="M8" s="129" t="s">
        <v>394</v>
      </c>
      <c r="N8" s="129" t="s">
        <v>395</v>
      </c>
      <c r="O8" s="129" t="s">
        <v>396</v>
      </c>
      <c r="P8" s="129" t="s">
        <v>397</v>
      </c>
      <c r="S8" s="262"/>
    </row>
    <row r="9" spans="1:19" s="3" customFormat="1" ht="16.5" thickBot="1" x14ac:dyDescent="0.25">
      <c r="A9" s="130" t="s">
        <v>2</v>
      </c>
      <c r="B9" s="131" t="s">
        <v>15</v>
      </c>
      <c r="C9" s="132" t="s">
        <v>337</v>
      </c>
      <c r="D9" s="133" t="e">
        <f>D10+D21+D24+D31+D35</f>
        <v>#REF!</v>
      </c>
      <c r="E9" s="133" t="e">
        <f>E10+E21+E24+E31+E35</f>
        <v>#REF!</v>
      </c>
      <c r="F9" s="133" t="e">
        <f>F10+F21+F24+F31+F35</f>
        <v>#REF!</v>
      </c>
      <c r="G9" s="133">
        <f t="shared" ref="G9:P9" si="0">G10+G21+G24+G35+G43</f>
        <v>29725.4</v>
      </c>
      <c r="H9" s="133">
        <f t="shared" si="0"/>
        <v>17464.399999999998</v>
      </c>
      <c r="I9" s="133">
        <f t="shared" si="0"/>
        <v>29091.899999999998</v>
      </c>
      <c r="J9" s="134">
        <f>J10+J21+J24+J35+J43+J39</f>
        <v>26445.599999999999</v>
      </c>
      <c r="K9" s="135">
        <f t="shared" si="0"/>
        <v>27354.59</v>
      </c>
      <c r="L9" s="136">
        <f t="shared" si="0"/>
        <v>28859.092449999996</v>
      </c>
      <c r="M9" s="137">
        <f t="shared" si="0"/>
        <v>8499.1666666666661</v>
      </c>
      <c r="N9" s="137">
        <f t="shared" si="0"/>
        <v>8499.1666666666661</v>
      </c>
      <c r="O9" s="137">
        <f t="shared" si="0"/>
        <v>8499.1666666666661</v>
      </c>
      <c r="P9" s="137">
        <f t="shared" si="0"/>
        <v>133.5</v>
      </c>
      <c r="S9" s="263"/>
    </row>
    <row r="10" spans="1:19" s="4" customFormat="1" ht="16.5" thickBot="1" x14ac:dyDescent="0.25">
      <c r="A10" s="138" t="s">
        <v>6</v>
      </c>
      <c r="B10" s="139" t="s">
        <v>146</v>
      </c>
      <c r="C10" s="140" t="s">
        <v>4</v>
      </c>
      <c r="D10" s="141">
        <f t="shared" ref="D10:P10" si="1">D11+D18</f>
        <v>9631.4</v>
      </c>
      <c r="E10" s="141">
        <f t="shared" si="1"/>
        <v>6727.71</v>
      </c>
      <c r="F10" s="141">
        <f t="shared" si="1"/>
        <v>10213.75</v>
      </c>
      <c r="G10" s="141">
        <f t="shared" si="1"/>
        <v>18820</v>
      </c>
      <c r="H10" s="141">
        <f t="shared" si="1"/>
        <v>10036.199999999999</v>
      </c>
      <c r="I10" s="141">
        <f t="shared" si="1"/>
        <v>17432.899999999998</v>
      </c>
      <c r="J10" s="142">
        <f>J11+J18+J20</f>
        <v>15644</v>
      </c>
      <c r="K10" s="143">
        <f t="shared" si="1"/>
        <v>16771.415999999997</v>
      </c>
      <c r="L10" s="144">
        <f t="shared" si="1"/>
        <v>17693.843879999997</v>
      </c>
      <c r="M10" s="145">
        <f t="shared" si="1"/>
        <v>5188.5</v>
      </c>
      <c r="N10" s="145">
        <f t="shared" si="1"/>
        <v>5188.5</v>
      </c>
      <c r="O10" s="145">
        <f t="shared" si="1"/>
        <v>5188.5</v>
      </c>
      <c r="P10" s="145">
        <f t="shared" si="1"/>
        <v>62.5</v>
      </c>
      <c r="S10" s="264"/>
    </row>
    <row r="11" spans="1:19" s="6" customFormat="1" ht="39.950000000000003" customHeight="1" x14ac:dyDescent="0.2">
      <c r="A11" s="146" t="s">
        <v>60</v>
      </c>
      <c r="B11" s="147" t="s">
        <v>251</v>
      </c>
      <c r="C11" s="148" t="s">
        <v>140</v>
      </c>
      <c r="D11" s="149">
        <f>D12+D15+D13+D16</f>
        <v>9391.4</v>
      </c>
      <c r="E11" s="149">
        <f>E12+E15+E13+E16</f>
        <v>6546.21</v>
      </c>
      <c r="F11" s="149">
        <f>F12+F15+F13+F16</f>
        <v>9941.5</v>
      </c>
      <c r="G11" s="149">
        <f>G12+G15+G13+G16+G17</f>
        <v>18620</v>
      </c>
      <c r="H11" s="149">
        <f>H12+H15+H13+H16+H17</f>
        <v>9812.9999999999982</v>
      </c>
      <c r="I11" s="149">
        <f>I12+I15+I13+I16+I17+I18</f>
        <v>17098.099999999999</v>
      </c>
      <c r="J11" s="150">
        <f>J12+J15+J13+J16+J17</f>
        <v>15404</v>
      </c>
      <c r="K11" s="151">
        <f>K12+K15+K13+K16+K17+K18</f>
        <v>16534.423999999999</v>
      </c>
      <c r="L11" s="152">
        <f>L12+L15+L13+L16+L17+L18</f>
        <v>17443.817319999998</v>
      </c>
      <c r="M11" s="153">
        <f>M12+M15+M13+M16+M17</f>
        <v>5113.833333333333</v>
      </c>
      <c r="N11" s="153">
        <f>N12+N15+N13+N16+N17</f>
        <v>5113.833333333333</v>
      </c>
      <c r="O11" s="153">
        <f>O12+O15+O13+O16+O17</f>
        <v>5113.833333333333</v>
      </c>
      <c r="P11" s="153">
        <f>P12+P15+P13+P16+P17</f>
        <v>62.5</v>
      </c>
      <c r="S11" s="265"/>
    </row>
    <row r="12" spans="1:19" s="6" customFormat="1" ht="39.950000000000003" customHeight="1" x14ac:dyDescent="0.2">
      <c r="A12" s="146" t="s">
        <v>43</v>
      </c>
      <c r="B12" s="147" t="s">
        <v>198</v>
      </c>
      <c r="C12" s="148" t="s">
        <v>141</v>
      </c>
      <c r="D12" s="149">
        <v>6131.4</v>
      </c>
      <c r="E12" s="149">
        <v>3667.3</v>
      </c>
      <c r="F12" s="149">
        <f>E12/8*12</f>
        <v>5500.9500000000007</v>
      </c>
      <c r="G12" s="149">
        <v>17300</v>
      </c>
      <c r="H12" s="149">
        <v>8970.7999999999993</v>
      </c>
      <c r="I12" s="149">
        <v>15500</v>
      </c>
      <c r="J12" s="150">
        <v>12426</v>
      </c>
      <c r="K12" s="154">
        <f>J12*1.058</f>
        <v>13146.708000000001</v>
      </c>
      <c r="L12" s="155">
        <f>K12*1.055</f>
        <v>13869.77694</v>
      </c>
      <c r="M12" s="153">
        <f>J12/3</f>
        <v>4142</v>
      </c>
      <c r="N12" s="153">
        <f>J12/3</f>
        <v>4142</v>
      </c>
      <c r="O12" s="153">
        <f>J12/3</f>
        <v>4142</v>
      </c>
      <c r="P12" s="153">
        <v>0</v>
      </c>
      <c r="S12" s="265"/>
    </row>
    <row r="13" spans="1:19" s="6" customFormat="1" ht="60.75" hidden="1" customHeight="1" x14ac:dyDescent="0.2">
      <c r="A13" s="146" t="s">
        <v>42</v>
      </c>
      <c r="B13" s="147" t="s">
        <v>199</v>
      </c>
      <c r="C13" s="148" t="s">
        <v>200</v>
      </c>
      <c r="D13" s="149">
        <v>2450</v>
      </c>
      <c r="E13" s="149">
        <v>2220.5</v>
      </c>
      <c r="F13" s="149">
        <f>E13/8*12</f>
        <v>3330.75</v>
      </c>
      <c r="G13" s="149"/>
      <c r="H13" s="149"/>
      <c r="I13" s="149">
        <f>H13/8*12</f>
        <v>0</v>
      </c>
      <c r="J13" s="150">
        <f t="shared" ref="J13:K47" si="2">I13*1.058</f>
        <v>0</v>
      </c>
      <c r="K13" s="154">
        <f t="shared" si="2"/>
        <v>0</v>
      </c>
      <c r="L13" s="155">
        <f t="shared" ref="L13:L47" si="3">K13*1.055</f>
        <v>0</v>
      </c>
      <c r="M13" s="149">
        <v>0</v>
      </c>
      <c r="N13" s="149">
        <v>0</v>
      </c>
      <c r="O13" s="149">
        <v>0</v>
      </c>
      <c r="P13" s="149">
        <v>0</v>
      </c>
      <c r="S13" s="265"/>
    </row>
    <row r="14" spans="1:19" s="6" customFormat="1" ht="39.950000000000003" customHeight="1" x14ac:dyDescent="0.2">
      <c r="A14" s="146" t="s">
        <v>61</v>
      </c>
      <c r="B14" s="147" t="s">
        <v>296</v>
      </c>
      <c r="C14" s="148" t="s">
        <v>142</v>
      </c>
      <c r="D14" s="149"/>
      <c r="E14" s="149"/>
      <c r="F14" s="149"/>
      <c r="G14" s="149">
        <f>G15</f>
        <v>760</v>
      </c>
      <c r="H14" s="149">
        <f>H15</f>
        <v>824.4</v>
      </c>
      <c r="I14" s="149">
        <f>I15</f>
        <v>1236.5999999999999</v>
      </c>
      <c r="J14" s="150">
        <f>J15</f>
        <v>2728</v>
      </c>
      <c r="K14" s="154">
        <f t="shared" si="2"/>
        <v>2886.2240000000002</v>
      </c>
      <c r="L14" s="155">
        <f t="shared" si="3"/>
        <v>3044.96632</v>
      </c>
      <c r="M14" s="153">
        <f>M15</f>
        <v>909.33333333333337</v>
      </c>
      <c r="N14" s="153">
        <f>N15</f>
        <v>909.33333333333337</v>
      </c>
      <c r="O14" s="153">
        <f>O15</f>
        <v>909.33333333333337</v>
      </c>
      <c r="P14" s="153">
        <f>P15</f>
        <v>0</v>
      </c>
      <c r="S14" s="265"/>
    </row>
    <row r="15" spans="1:19" s="6" customFormat="1" ht="39.950000000000003" customHeight="1" x14ac:dyDescent="0.2">
      <c r="A15" s="146" t="s">
        <v>178</v>
      </c>
      <c r="B15" s="147" t="s">
        <v>201</v>
      </c>
      <c r="C15" s="148" t="s">
        <v>142</v>
      </c>
      <c r="D15" s="149">
        <v>800</v>
      </c>
      <c r="E15" s="149">
        <v>733.2</v>
      </c>
      <c r="F15" s="149">
        <f>E15/8*12</f>
        <v>1099.8000000000002</v>
      </c>
      <c r="G15" s="149">
        <v>760</v>
      </c>
      <c r="H15" s="149">
        <v>824.4</v>
      </c>
      <c r="I15" s="149">
        <f t="shared" ref="I15:I20" si="4">H15/8*12</f>
        <v>1236.5999999999999</v>
      </c>
      <c r="J15" s="150">
        <v>2728</v>
      </c>
      <c r="K15" s="154">
        <f t="shared" si="2"/>
        <v>2886.2240000000002</v>
      </c>
      <c r="L15" s="155">
        <f t="shared" si="3"/>
        <v>3044.96632</v>
      </c>
      <c r="M15" s="153">
        <f>J15/3</f>
        <v>909.33333333333337</v>
      </c>
      <c r="N15" s="153">
        <f>J15/3</f>
        <v>909.33333333333337</v>
      </c>
      <c r="O15" s="153">
        <f>J15/3</f>
        <v>909.33333333333337</v>
      </c>
      <c r="P15" s="153">
        <v>0</v>
      </c>
      <c r="S15" s="265"/>
    </row>
    <row r="16" spans="1:19" s="6" customFormat="1" ht="39.950000000000003" hidden="1" customHeight="1" x14ac:dyDescent="0.2">
      <c r="A16" s="146" t="s">
        <v>178</v>
      </c>
      <c r="B16" s="147" t="s">
        <v>202</v>
      </c>
      <c r="C16" s="148" t="s">
        <v>203</v>
      </c>
      <c r="D16" s="149">
        <v>10</v>
      </c>
      <c r="E16" s="149">
        <v>-74.790000000000006</v>
      </c>
      <c r="F16" s="149">
        <v>10</v>
      </c>
      <c r="G16" s="156"/>
      <c r="H16" s="156"/>
      <c r="I16" s="149">
        <f t="shared" si="4"/>
        <v>0</v>
      </c>
      <c r="J16" s="150">
        <f t="shared" si="2"/>
        <v>0</v>
      </c>
      <c r="K16" s="154">
        <f t="shared" si="2"/>
        <v>0</v>
      </c>
      <c r="L16" s="155">
        <f t="shared" si="3"/>
        <v>0</v>
      </c>
      <c r="M16" s="149">
        <v>0</v>
      </c>
      <c r="N16" s="149">
        <v>0</v>
      </c>
      <c r="O16" s="149">
        <v>0</v>
      </c>
      <c r="P16" s="149">
        <v>0</v>
      </c>
      <c r="S16" s="265"/>
    </row>
    <row r="17" spans="1:19" s="6" customFormat="1" ht="39.950000000000003" customHeight="1" x14ac:dyDescent="0.2">
      <c r="A17" s="146" t="s">
        <v>250</v>
      </c>
      <c r="B17" s="147" t="s">
        <v>248</v>
      </c>
      <c r="C17" s="148" t="s">
        <v>249</v>
      </c>
      <c r="D17" s="149"/>
      <c r="E17" s="149"/>
      <c r="F17" s="149"/>
      <c r="G17" s="149">
        <v>560</v>
      </c>
      <c r="H17" s="149">
        <v>17.8</v>
      </c>
      <c r="I17" s="149">
        <f t="shared" si="4"/>
        <v>26.700000000000003</v>
      </c>
      <c r="J17" s="150">
        <v>250</v>
      </c>
      <c r="K17" s="154">
        <f t="shared" si="2"/>
        <v>264.5</v>
      </c>
      <c r="L17" s="155">
        <f t="shared" si="3"/>
        <v>279.04749999999996</v>
      </c>
      <c r="M17" s="153">
        <f>J17/4</f>
        <v>62.5</v>
      </c>
      <c r="N17" s="153">
        <f>J17/4</f>
        <v>62.5</v>
      </c>
      <c r="O17" s="153">
        <f>J17/4</f>
        <v>62.5</v>
      </c>
      <c r="P17" s="153">
        <f>J17/4</f>
        <v>62.5</v>
      </c>
      <c r="S17" s="265"/>
    </row>
    <row r="18" spans="1:19" s="6" customFormat="1" ht="39.950000000000003" customHeight="1" x14ac:dyDescent="0.2">
      <c r="A18" s="146" t="s">
        <v>159</v>
      </c>
      <c r="B18" s="147" t="s">
        <v>253</v>
      </c>
      <c r="C18" s="148" t="s">
        <v>324</v>
      </c>
      <c r="D18" s="149">
        <f>D19+D20</f>
        <v>240</v>
      </c>
      <c r="E18" s="149">
        <f>E19+E20</f>
        <v>181.5</v>
      </c>
      <c r="F18" s="149">
        <f>E18/8*12</f>
        <v>272.25</v>
      </c>
      <c r="G18" s="149">
        <f>G19+G20</f>
        <v>200</v>
      </c>
      <c r="H18" s="149">
        <f>H19+H20</f>
        <v>223.2</v>
      </c>
      <c r="I18" s="149">
        <f t="shared" si="4"/>
        <v>334.79999999999995</v>
      </c>
      <c r="J18" s="150">
        <f>J19</f>
        <v>224</v>
      </c>
      <c r="K18" s="154">
        <f t="shared" si="2"/>
        <v>236.99200000000002</v>
      </c>
      <c r="L18" s="155">
        <f t="shared" si="3"/>
        <v>250.02656000000002</v>
      </c>
      <c r="M18" s="153">
        <f>M19</f>
        <v>74.666666666666671</v>
      </c>
      <c r="N18" s="153">
        <f>N19</f>
        <v>74.666666666666671</v>
      </c>
      <c r="O18" s="153">
        <f>O19</f>
        <v>74.666666666666671</v>
      </c>
      <c r="P18" s="153">
        <f>P19</f>
        <v>0</v>
      </c>
      <c r="S18" s="265"/>
    </row>
    <row r="19" spans="1:19" s="6" customFormat="1" ht="39.950000000000003" customHeight="1" x14ac:dyDescent="0.2">
      <c r="A19" s="146" t="s">
        <v>177</v>
      </c>
      <c r="B19" s="147" t="s">
        <v>204</v>
      </c>
      <c r="C19" s="148" t="s">
        <v>324</v>
      </c>
      <c r="D19" s="149">
        <v>120</v>
      </c>
      <c r="E19" s="149">
        <v>130.5</v>
      </c>
      <c r="F19" s="149">
        <f>E19/8*12</f>
        <v>195.75</v>
      </c>
      <c r="G19" s="149">
        <v>200</v>
      </c>
      <c r="H19" s="149">
        <v>223.2</v>
      </c>
      <c r="I19" s="149">
        <f t="shared" si="4"/>
        <v>334.79999999999995</v>
      </c>
      <c r="J19" s="150">
        <v>224</v>
      </c>
      <c r="K19" s="154">
        <f t="shared" si="2"/>
        <v>236.99200000000002</v>
      </c>
      <c r="L19" s="155">
        <f t="shared" si="3"/>
        <v>250.02656000000002</v>
      </c>
      <c r="M19" s="153">
        <f>J19/3</f>
        <v>74.666666666666671</v>
      </c>
      <c r="N19" s="153">
        <f>J19/3</f>
        <v>74.666666666666671</v>
      </c>
      <c r="O19" s="153">
        <f>J19/3</f>
        <v>74.666666666666671</v>
      </c>
      <c r="P19" s="153">
        <v>0</v>
      </c>
      <c r="S19" s="265"/>
    </row>
    <row r="20" spans="1:19" s="4" customFormat="1" ht="45" customHeight="1" thickBot="1" x14ac:dyDescent="0.25">
      <c r="A20" s="146" t="s">
        <v>239</v>
      </c>
      <c r="B20" s="147" t="s">
        <v>426</v>
      </c>
      <c r="C20" s="148" t="s">
        <v>427</v>
      </c>
      <c r="D20" s="149">
        <v>120</v>
      </c>
      <c r="E20" s="149">
        <v>51</v>
      </c>
      <c r="F20" s="149">
        <f>E20/8*12</f>
        <v>76.5</v>
      </c>
      <c r="G20" s="156"/>
      <c r="H20" s="149"/>
      <c r="I20" s="149">
        <f t="shared" si="4"/>
        <v>0</v>
      </c>
      <c r="J20" s="150">
        <v>16</v>
      </c>
      <c r="K20" s="154">
        <f t="shared" si="2"/>
        <v>16.928000000000001</v>
      </c>
      <c r="L20" s="155">
        <f t="shared" si="3"/>
        <v>17.85904</v>
      </c>
      <c r="M20" s="157"/>
      <c r="N20" s="157"/>
      <c r="O20" s="157"/>
      <c r="P20" s="157"/>
      <c r="S20" s="264"/>
    </row>
    <row r="21" spans="1:19" s="6" customFormat="1" ht="16.5" thickBot="1" x14ac:dyDescent="0.25">
      <c r="A21" s="138" t="s">
        <v>3</v>
      </c>
      <c r="B21" s="139" t="s">
        <v>147</v>
      </c>
      <c r="C21" s="140" t="s">
        <v>5</v>
      </c>
      <c r="D21" s="141">
        <f>D22</f>
        <v>300</v>
      </c>
      <c r="E21" s="141">
        <f t="shared" ref="E21:P22" si="5">E22</f>
        <v>175</v>
      </c>
      <c r="F21" s="141">
        <f t="shared" si="5"/>
        <v>262.5</v>
      </c>
      <c r="G21" s="141">
        <f t="shared" si="5"/>
        <v>1600</v>
      </c>
      <c r="H21" s="141">
        <f t="shared" si="5"/>
        <v>950.7</v>
      </c>
      <c r="I21" s="141">
        <f t="shared" si="5"/>
        <v>1600</v>
      </c>
      <c r="J21" s="142">
        <f t="shared" si="5"/>
        <v>2985</v>
      </c>
      <c r="K21" s="158">
        <f t="shared" si="5"/>
        <v>3158.13</v>
      </c>
      <c r="L21" s="159">
        <f t="shared" si="5"/>
        <v>3331.8271500000001</v>
      </c>
      <c r="M21" s="145">
        <f t="shared" si="5"/>
        <v>995</v>
      </c>
      <c r="N21" s="145">
        <f t="shared" si="5"/>
        <v>995</v>
      </c>
      <c r="O21" s="145">
        <f t="shared" si="5"/>
        <v>995</v>
      </c>
      <c r="P21" s="145">
        <f t="shared" si="5"/>
        <v>0</v>
      </c>
      <c r="S21" s="265"/>
    </row>
    <row r="22" spans="1:19" ht="39.950000000000003" customHeight="1" x14ac:dyDescent="0.2">
      <c r="A22" s="146" t="s">
        <v>62</v>
      </c>
      <c r="B22" s="147" t="s">
        <v>252</v>
      </c>
      <c r="C22" s="160" t="s">
        <v>53</v>
      </c>
      <c r="D22" s="149">
        <f>D23</f>
        <v>300</v>
      </c>
      <c r="E22" s="149">
        <v>175</v>
      </c>
      <c r="F22" s="149">
        <f t="shared" si="5"/>
        <v>262.5</v>
      </c>
      <c r="G22" s="149">
        <f t="shared" si="5"/>
        <v>1600</v>
      </c>
      <c r="H22" s="149">
        <f t="shared" si="5"/>
        <v>950.7</v>
      </c>
      <c r="I22" s="149">
        <f>I23</f>
        <v>1600</v>
      </c>
      <c r="J22" s="150">
        <f>J23</f>
        <v>2985</v>
      </c>
      <c r="K22" s="154">
        <f t="shared" si="2"/>
        <v>3158.13</v>
      </c>
      <c r="L22" s="155">
        <f t="shared" si="3"/>
        <v>3331.8271500000001</v>
      </c>
      <c r="M22" s="153">
        <f t="shared" si="5"/>
        <v>995</v>
      </c>
      <c r="N22" s="153">
        <f t="shared" si="5"/>
        <v>995</v>
      </c>
      <c r="O22" s="153">
        <f t="shared" si="5"/>
        <v>995</v>
      </c>
      <c r="P22" s="153">
        <f t="shared" si="5"/>
        <v>0</v>
      </c>
    </row>
    <row r="23" spans="1:19" s="6" customFormat="1" ht="64.5" thickBot="1" x14ac:dyDescent="0.25">
      <c r="A23" s="146" t="s">
        <v>63</v>
      </c>
      <c r="B23" s="147" t="s">
        <v>50</v>
      </c>
      <c r="C23" s="148" t="s">
        <v>54</v>
      </c>
      <c r="D23" s="149">
        <v>300</v>
      </c>
      <c r="E23" s="149">
        <v>175</v>
      </c>
      <c r="F23" s="149">
        <f>E23/8*12</f>
        <v>262.5</v>
      </c>
      <c r="G23" s="149">
        <v>1600</v>
      </c>
      <c r="H23" s="149">
        <v>950.7</v>
      </c>
      <c r="I23" s="149">
        <v>1600</v>
      </c>
      <c r="J23" s="150">
        <f>1985+1000</f>
        <v>2985</v>
      </c>
      <c r="K23" s="154">
        <f t="shared" si="2"/>
        <v>3158.13</v>
      </c>
      <c r="L23" s="155">
        <f t="shared" si="3"/>
        <v>3331.8271500000001</v>
      </c>
      <c r="M23" s="153">
        <f>J23/3</f>
        <v>995</v>
      </c>
      <c r="N23" s="153">
        <f>J23/3</f>
        <v>995</v>
      </c>
      <c r="O23" s="153">
        <f>J23/3</f>
        <v>995</v>
      </c>
      <c r="P23" s="153">
        <v>0</v>
      </c>
      <c r="S23" s="265"/>
    </row>
    <row r="24" spans="1:19" s="6" customFormat="1" ht="39" thickBot="1" x14ac:dyDescent="0.25">
      <c r="A24" s="138">
        <v>3</v>
      </c>
      <c r="B24" s="139" t="s">
        <v>16</v>
      </c>
      <c r="C24" s="140" t="s">
        <v>143</v>
      </c>
      <c r="D24" s="141" t="e">
        <f>#REF!+#REF!+D25+#REF!+#REF!</f>
        <v>#REF!</v>
      </c>
      <c r="E24" s="141" t="e">
        <f>#REF!+#REF!+E25+#REF!+#REF!</f>
        <v>#REF!</v>
      </c>
      <c r="F24" s="141" t="e">
        <f>#REF!+#REF!+F25+#REF!+#REF!</f>
        <v>#REF!</v>
      </c>
      <c r="G24" s="141">
        <f t="shared" ref="G24:L24" si="6">G29+G33</f>
        <v>9275.4</v>
      </c>
      <c r="H24" s="141">
        <f t="shared" si="6"/>
        <v>6457.7</v>
      </c>
      <c r="I24" s="141">
        <f t="shared" si="6"/>
        <v>10024</v>
      </c>
      <c r="J24" s="142">
        <f t="shared" si="6"/>
        <v>6746</v>
      </c>
      <c r="K24" s="158">
        <f t="shared" si="6"/>
        <v>7137.268</v>
      </c>
      <c r="L24" s="159">
        <f t="shared" si="6"/>
        <v>7529.8177400000004</v>
      </c>
      <c r="M24" s="161">
        <f>M29+M33</f>
        <v>2247.6666666666665</v>
      </c>
      <c r="N24" s="161">
        <f>N29+N33</f>
        <v>2247.6666666666665</v>
      </c>
      <c r="O24" s="161">
        <f>O29+O33</f>
        <v>2247.6666666666665</v>
      </c>
      <c r="P24" s="161">
        <f>P29+P33</f>
        <v>3</v>
      </c>
      <c r="S24" s="265"/>
    </row>
    <row r="25" spans="1:19" s="6" customFormat="1" ht="30" hidden="1" customHeight="1" x14ac:dyDescent="0.2">
      <c r="A25" s="162"/>
      <c r="B25" s="163" t="s">
        <v>311</v>
      </c>
      <c r="C25" s="164" t="s">
        <v>312</v>
      </c>
      <c r="D25" s="149">
        <f>D30</f>
        <v>5500</v>
      </c>
      <c r="E25" s="149">
        <f>E30</f>
        <v>3350.4</v>
      </c>
      <c r="F25" s="149">
        <f>F30</f>
        <v>5025.6000000000004</v>
      </c>
      <c r="G25" s="156"/>
      <c r="H25" s="149">
        <f>H26</f>
        <v>0</v>
      </c>
      <c r="I25" s="149">
        <f>H25/8*12</f>
        <v>0</v>
      </c>
      <c r="J25" s="150">
        <f t="shared" si="2"/>
        <v>0</v>
      </c>
      <c r="K25" s="154">
        <f t="shared" si="2"/>
        <v>0</v>
      </c>
      <c r="L25" s="155">
        <f t="shared" si="3"/>
        <v>0</v>
      </c>
      <c r="M25" s="153">
        <f t="shared" ref="M25:P28" si="7">L25*1.058</f>
        <v>0</v>
      </c>
      <c r="N25" s="153">
        <f t="shared" si="7"/>
        <v>0</v>
      </c>
      <c r="O25" s="153">
        <f t="shared" si="7"/>
        <v>0</v>
      </c>
      <c r="P25" s="153">
        <f t="shared" si="7"/>
        <v>0</v>
      </c>
      <c r="S25" s="265"/>
    </row>
    <row r="26" spans="1:19" s="6" customFormat="1" ht="57.75" hidden="1" customHeight="1" x14ac:dyDescent="0.2">
      <c r="A26" s="162"/>
      <c r="B26" s="163" t="s">
        <v>313</v>
      </c>
      <c r="C26" s="164" t="s">
        <v>314</v>
      </c>
      <c r="D26" s="149">
        <f>D30</f>
        <v>5500</v>
      </c>
      <c r="E26" s="149">
        <f>E30</f>
        <v>3350.4</v>
      </c>
      <c r="F26" s="149">
        <f>F30</f>
        <v>5025.6000000000004</v>
      </c>
      <c r="G26" s="156"/>
      <c r="H26" s="149">
        <f>H27</f>
        <v>0</v>
      </c>
      <c r="I26" s="149">
        <f>H26/8*12</f>
        <v>0</v>
      </c>
      <c r="J26" s="150">
        <f t="shared" si="2"/>
        <v>0</v>
      </c>
      <c r="K26" s="154">
        <f t="shared" si="2"/>
        <v>0</v>
      </c>
      <c r="L26" s="155">
        <f t="shared" si="3"/>
        <v>0</v>
      </c>
      <c r="M26" s="153">
        <f t="shared" si="7"/>
        <v>0</v>
      </c>
      <c r="N26" s="153">
        <f t="shared" si="7"/>
        <v>0</v>
      </c>
      <c r="O26" s="153">
        <f t="shared" si="7"/>
        <v>0</v>
      </c>
      <c r="P26" s="153">
        <f t="shared" si="7"/>
        <v>0</v>
      </c>
      <c r="S26" s="265"/>
    </row>
    <row r="27" spans="1:19" s="6" customFormat="1" ht="36" hidden="1" customHeight="1" x14ac:dyDescent="0.2">
      <c r="A27" s="162"/>
      <c r="B27" s="163" t="s">
        <v>315</v>
      </c>
      <c r="C27" s="164" t="s">
        <v>316</v>
      </c>
      <c r="D27" s="149">
        <f>D30</f>
        <v>5500</v>
      </c>
      <c r="E27" s="149">
        <v>3350.4</v>
      </c>
      <c r="F27" s="149">
        <f>F30</f>
        <v>5025.6000000000004</v>
      </c>
      <c r="G27" s="156"/>
      <c r="H27" s="149">
        <f>H28</f>
        <v>0</v>
      </c>
      <c r="I27" s="149">
        <f>H27/8*12</f>
        <v>0</v>
      </c>
      <c r="J27" s="150">
        <f t="shared" si="2"/>
        <v>0</v>
      </c>
      <c r="K27" s="154">
        <f t="shared" si="2"/>
        <v>0</v>
      </c>
      <c r="L27" s="155">
        <f t="shared" si="3"/>
        <v>0</v>
      </c>
      <c r="M27" s="153">
        <f t="shared" si="7"/>
        <v>0</v>
      </c>
      <c r="N27" s="153">
        <f t="shared" si="7"/>
        <v>0</v>
      </c>
      <c r="O27" s="153">
        <f t="shared" si="7"/>
        <v>0</v>
      </c>
      <c r="P27" s="153">
        <f t="shared" si="7"/>
        <v>0</v>
      </c>
      <c r="S27" s="265"/>
    </row>
    <row r="28" spans="1:19" s="6" customFormat="1" ht="51" hidden="1" x14ac:dyDescent="0.2">
      <c r="A28" s="162"/>
      <c r="B28" s="163" t="s">
        <v>317</v>
      </c>
      <c r="C28" s="164" t="s">
        <v>318</v>
      </c>
      <c r="D28" s="149">
        <v>5500</v>
      </c>
      <c r="E28" s="149">
        <v>3350.4</v>
      </c>
      <c r="F28" s="149">
        <f>E28/8*12</f>
        <v>5025.6000000000004</v>
      </c>
      <c r="G28" s="156"/>
      <c r="H28" s="149">
        <f>G28*1.05</f>
        <v>0</v>
      </c>
      <c r="I28" s="149">
        <f>H28/8*12</f>
        <v>0</v>
      </c>
      <c r="J28" s="150">
        <f t="shared" si="2"/>
        <v>0</v>
      </c>
      <c r="K28" s="154">
        <f t="shared" si="2"/>
        <v>0</v>
      </c>
      <c r="L28" s="155">
        <f t="shared" si="3"/>
        <v>0</v>
      </c>
      <c r="M28" s="153">
        <f t="shared" si="7"/>
        <v>0</v>
      </c>
      <c r="N28" s="153">
        <f t="shared" si="7"/>
        <v>0</v>
      </c>
      <c r="O28" s="153">
        <f t="shared" si="7"/>
        <v>0</v>
      </c>
      <c r="P28" s="153">
        <f t="shared" si="7"/>
        <v>0</v>
      </c>
      <c r="S28" s="265"/>
    </row>
    <row r="29" spans="1:19" s="6" customFormat="1" ht="65.099999999999994" customHeight="1" x14ac:dyDescent="0.2">
      <c r="A29" s="146" t="s">
        <v>64</v>
      </c>
      <c r="B29" s="165" t="s">
        <v>157</v>
      </c>
      <c r="C29" s="148" t="s">
        <v>205</v>
      </c>
      <c r="D29" s="141"/>
      <c r="E29" s="141"/>
      <c r="F29" s="141"/>
      <c r="G29" s="149">
        <f t="shared" ref="G29:I31" si="8">G30</f>
        <v>9251.4</v>
      </c>
      <c r="H29" s="149">
        <f t="shared" si="8"/>
        <v>6445.7</v>
      </c>
      <c r="I29" s="149">
        <f t="shared" si="8"/>
        <v>10000</v>
      </c>
      <c r="J29" s="150">
        <f>J30</f>
        <v>6734</v>
      </c>
      <c r="K29" s="154">
        <f t="shared" si="2"/>
        <v>7124.5720000000001</v>
      </c>
      <c r="L29" s="155">
        <f t="shared" si="3"/>
        <v>7516.42346</v>
      </c>
      <c r="M29" s="153">
        <f t="shared" ref="M29:P31" si="9">M30</f>
        <v>2244.6666666666665</v>
      </c>
      <c r="N29" s="153">
        <f t="shared" si="9"/>
        <v>2244.6666666666665</v>
      </c>
      <c r="O29" s="153">
        <f t="shared" si="9"/>
        <v>2244.6666666666665</v>
      </c>
      <c r="P29" s="153">
        <f t="shared" si="9"/>
        <v>0</v>
      </c>
      <c r="S29" s="265"/>
    </row>
    <row r="30" spans="1:19" s="6" customFormat="1" ht="65.099999999999994" customHeight="1" x14ac:dyDescent="0.2">
      <c r="A30" s="146" t="s">
        <v>65</v>
      </c>
      <c r="B30" s="165" t="s">
        <v>158</v>
      </c>
      <c r="C30" s="148" t="s">
        <v>144</v>
      </c>
      <c r="D30" s="149">
        <v>5500</v>
      </c>
      <c r="E30" s="149">
        <v>3350.4</v>
      </c>
      <c r="F30" s="149">
        <f>E30/8*12</f>
        <v>5025.6000000000004</v>
      </c>
      <c r="G30" s="149">
        <f t="shared" si="8"/>
        <v>9251.4</v>
      </c>
      <c r="H30" s="149">
        <f t="shared" si="8"/>
        <v>6445.7</v>
      </c>
      <c r="I30" s="149">
        <f>I31</f>
        <v>10000</v>
      </c>
      <c r="J30" s="150">
        <f>J31</f>
        <v>6734</v>
      </c>
      <c r="K30" s="154">
        <f t="shared" si="2"/>
        <v>7124.5720000000001</v>
      </c>
      <c r="L30" s="155">
        <f t="shared" si="3"/>
        <v>7516.42346</v>
      </c>
      <c r="M30" s="153">
        <f t="shared" si="9"/>
        <v>2244.6666666666665</v>
      </c>
      <c r="N30" s="153">
        <f t="shared" si="9"/>
        <v>2244.6666666666665</v>
      </c>
      <c r="O30" s="153">
        <f t="shared" si="9"/>
        <v>2244.6666666666665</v>
      </c>
      <c r="P30" s="153">
        <f t="shared" si="9"/>
        <v>0</v>
      </c>
      <c r="S30" s="265"/>
    </row>
    <row r="31" spans="1:19" s="6" customFormat="1" ht="84" customHeight="1" x14ac:dyDescent="0.2">
      <c r="A31" s="146" t="s">
        <v>138</v>
      </c>
      <c r="B31" s="165" t="s">
        <v>297</v>
      </c>
      <c r="C31" s="148" t="s">
        <v>145</v>
      </c>
      <c r="D31" s="166">
        <f>D32</f>
        <v>3450</v>
      </c>
      <c r="E31" s="166">
        <f>E32</f>
        <v>1791.7</v>
      </c>
      <c r="F31" s="166">
        <f>F32</f>
        <v>2090</v>
      </c>
      <c r="G31" s="149">
        <f>G32</f>
        <v>9251.4</v>
      </c>
      <c r="H31" s="149">
        <f t="shared" si="8"/>
        <v>6445.7</v>
      </c>
      <c r="I31" s="149">
        <f>I32</f>
        <v>10000</v>
      </c>
      <c r="J31" s="150">
        <f>J32</f>
        <v>6734</v>
      </c>
      <c r="K31" s="154">
        <f t="shared" si="2"/>
        <v>7124.5720000000001</v>
      </c>
      <c r="L31" s="155">
        <f t="shared" si="3"/>
        <v>7516.42346</v>
      </c>
      <c r="M31" s="153">
        <f t="shared" si="9"/>
        <v>2244.6666666666665</v>
      </c>
      <c r="N31" s="153">
        <f t="shared" si="9"/>
        <v>2244.6666666666665</v>
      </c>
      <c r="O31" s="153">
        <f t="shared" si="9"/>
        <v>2244.6666666666665</v>
      </c>
      <c r="P31" s="153">
        <f t="shared" si="9"/>
        <v>0</v>
      </c>
      <c r="S31" s="265"/>
    </row>
    <row r="32" spans="1:19" s="6" customFormat="1" ht="65.099999999999994" customHeight="1" x14ac:dyDescent="0.2">
      <c r="A32" s="146" t="s">
        <v>298</v>
      </c>
      <c r="B32" s="165" t="s">
        <v>241</v>
      </c>
      <c r="C32" s="148" t="s">
        <v>57</v>
      </c>
      <c r="D32" s="167">
        <f>D33</f>
        <v>3450</v>
      </c>
      <c r="E32" s="167">
        <f>E33</f>
        <v>1791.7</v>
      </c>
      <c r="F32" s="167">
        <f>F33</f>
        <v>2090</v>
      </c>
      <c r="G32" s="149">
        <f>9214.3+37.1</f>
        <v>9251.4</v>
      </c>
      <c r="H32" s="167">
        <v>6445.7</v>
      </c>
      <c r="I32" s="149">
        <v>10000</v>
      </c>
      <c r="J32" s="150">
        <v>6734</v>
      </c>
      <c r="K32" s="154">
        <f t="shared" si="2"/>
        <v>7124.5720000000001</v>
      </c>
      <c r="L32" s="155">
        <f t="shared" si="3"/>
        <v>7516.42346</v>
      </c>
      <c r="M32" s="153">
        <f>J32/3</f>
        <v>2244.6666666666665</v>
      </c>
      <c r="N32" s="153">
        <f>J32/3</f>
        <v>2244.6666666666665</v>
      </c>
      <c r="O32" s="153">
        <f>J32/3</f>
        <v>2244.6666666666665</v>
      </c>
      <c r="P32" s="153">
        <v>0</v>
      </c>
      <c r="S32" s="265"/>
    </row>
    <row r="33" spans="1:19" s="6" customFormat="1" ht="31.5" customHeight="1" x14ac:dyDescent="0.2">
      <c r="A33" s="146" t="s">
        <v>299</v>
      </c>
      <c r="B33" s="165" t="s">
        <v>300</v>
      </c>
      <c r="C33" s="148" t="s">
        <v>338</v>
      </c>
      <c r="D33" s="149">
        <f>D34</f>
        <v>3450</v>
      </c>
      <c r="E33" s="149">
        <f>E34</f>
        <v>1791.7</v>
      </c>
      <c r="F33" s="149">
        <v>2090</v>
      </c>
      <c r="G33" s="149">
        <f t="shared" ref="G33:P33" si="10">G34</f>
        <v>24</v>
      </c>
      <c r="H33" s="149">
        <f t="shared" si="10"/>
        <v>12</v>
      </c>
      <c r="I33" s="149">
        <f t="shared" si="10"/>
        <v>24</v>
      </c>
      <c r="J33" s="150">
        <f t="shared" si="10"/>
        <v>12</v>
      </c>
      <c r="K33" s="168">
        <f t="shared" si="10"/>
        <v>12.696000000000002</v>
      </c>
      <c r="L33" s="169">
        <f t="shared" si="10"/>
        <v>13.39428</v>
      </c>
      <c r="M33" s="153">
        <f t="shared" si="10"/>
        <v>3</v>
      </c>
      <c r="N33" s="153">
        <f t="shared" si="10"/>
        <v>3</v>
      </c>
      <c r="O33" s="153">
        <f t="shared" si="10"/>
        <v>3</v>
      </c>
      <c r="P33" s="153">
        <f t="shared" si="10"/>
        <v>3</v>
      </c>
      <c r="S33" s="265"/>
    </row>
    <row r="34" spans="1:19" s="6" customFormat="1" ht="77.25" customHeight="1" x14ac:dyDescent="0.2">
      <c r="A34" s="146" t="s">
        <v>301</v>
      </c>
      <c r="B34" s="165" t="s">
        <v>302</v>
      </c>
      <c r="C34" s="148" t="s">
        <v>433</v>
      </c>
      <c r="D34" s="167">
        <v>3450</v>
      </c>
      <c r="E34" s="167">
        <v>1791.7</v>
      </c>
      <c r="F34" s="167">
        <v>2090</v>
      </c>
      <c r="G34" s="149">
        <v>24</v>
      </c>
      <c r="H34" s="167">
        <v>12</v>
      </c>
      <c r="I34" s="149">
        <v>24</v>
      </c>
      <c r="J34" s="150">
        <v>12</v>
      </c>
      <c r="K34" s="154">
        <f t="shared" si="2"/>
        <v>12.696000000000002</v>
      </c>
      <c r="L34" s="155">
        <f t="shared" si="3"/>
        <v>13.39428</v>
      </c>
      <c r="M34" s="153">
        <f>J34/4</f>
        <v>3</v>
      </c>
      <c r="N34" s="153">
        <f>J34/4</f>
        <v>3</v>
      </c>
      <c r="O34" s="153">
        <f>J34/4</f>
        <v>3</v>
      </c>
      <c r="P34" s="153">
        <f>J34/4</f>
        <v>3</v>
      </c>
      <c r="S34" s="265"/>
    </row>
    <row r="35" spans="1:19" s="6" customFormat="1" ht="26.25" hidden="1" thickBot="1" x14ac:dyDescent="0.25">
      <c r="A35" s="170">
        <v>4</v>
      </c>
      <c r="B35" s="171" t="s">
        <v>55</v>
      </c>
      <c r="C35" s="172" t="s">
        <v>242</v>
      </c>
      <c r="D35" s="166">
        <f>D36</f>
        <v>140</v>
      </c>
      <c r="E35" s="166">
        <f t="shared" ref="E35:H37" si="11">E36</f>
        <v>88</v>
      </c>
      <c r="F35" s="166">
        <f t="shared" si="11"/>
        <v>132</v>
      </c>
      <c r="G35" s="166">
        <f t="shared" si="11"/>
        <v>0</v>
      </c>
      <c r="H35" s="166">
        <f t="shared" si="11"/>
        <v>0</v>
      </c>
      <c r="I35" s="149">
        <f>H35/8*12</f>
        <v>0</v>
      </c>
      <c r="J35" s="150">
        <f t="shared" si="2"/>
        <v>0</v>
      </c>
      <c r="K35" s="154">
        <f t="shared" si="2"/>
        <v>0</v>
      </c>
      <c r="L35" s="155">
        <f t="shared" si="3"/>
        <v>0</v>
      </c>
      <c r="M35" s="153"/>
      <c r="N35" s="153"/>
      <c r="O35" s="153"/>
      <c r="P35" s="153"/>
      <c r="S35" s="265"/>
    </row>
    <row r="36" spans="1:19" s="6" customFormat="1" ht="31.5" hidden="1" customHeight="1" x14ac:dyDescent="0.2">
      <c r="A36" s="173" t="s">
        <v>66</v>
      </c>
      <c r="B36" s="174" t="s">
        <v>243</v>
      </c>
      <c r="C36" s="175" t="s">
        <v>244</v>
      </c>
      <c r="D36" s="149">
        <f>D37</f>
        <v>140</v>
      </c>
      <c r="E36" s="149">
        <f t="shared" si="11"/>
        <v>88</v>
      </c>
      <c r="F36" s="149">
        <f t="shared" si="11"/>
        <v>132</v>
      </c>
      <c r="G36" s="167">
        <f t="shared" si="11"/>
        <v>0</v>
      </c>
      <c r="H36" s="149"/>
      <c r="I36" s="149">
        <f>H36/8*12</f>
        <v>0</v>
      </c>
      <c r="J36" s="150">
        <f t="shared" si="2"/>
        <v>0</v>
      </c>
      <c r="K36" s="154">
        <f t="shared" si="2"/>
        <v>0</v>
      </c>
      <c r="L36" s="155">
        <f t="shared" si="3"/>
        <v>0</v>
      </c>
      <c r="M36" s="153"/>
      <c r="N36" s="153"/>
      <c r="O36" s="153"/>
      <c r="P36" s="153"/>
      <c r="S36" s="265"/>
    </row>
    <row r="37" spans="1:19" s="5" customFormat="1" ht="44.25" hidden="1" customHeight="1" x14ac:dyDescent="0.2">
      <c r="A37" s="173" t="s">
        <v>67</v>
      </c>
      <c r="B37" s="174" t="s">
        <v>245</v>
      </c>
      <c r="C37" s="175" t="s">
        <v>246</v>
      </c>
      <c r="D37" s="149">
        <f>D38+D43</f>
        <v>140</v>
      </c>
      <c r="E37" s="149">
        <v>88</v>
      </c>
      <c r="F37" s="149">
        <f>E37/8*12</f>
        <v>132</v>
      </c>
      <c r="G37" s="167">
        <f t="shared" si="11"/>
        <v>0</v>
      </c>
      <c r="H37" s="149"/>
      <c r="I37" s="149">
        <f>H37/8*12</f>
        <v>0</v>
      </c>
      <c r="J37" s="150">
        <f t="shared" si="2"/>
        <v>0</v>
      </c>
      <c r="K37" s="154">
        <f t="shared" si="2"/>
        <v>0</v>
      </c>
      <c r="L37" s="155">
        <f t="shared" si="3"/>
        <v>0</v>
      </c>
      <c r="M37" s="153"/>
      <c r="N37" s="153"/>
      <c r="O37" s="153"/>
      <c r="P37" s="153"/>
      <c r="S37" s="266"/>
    </row>
    <row r="38" spans="1:19" s="5" customFormat="1" ht="76.5" hidden="1" customHeight="1" thickBot="1" x14ac:dyDescent="0.25">
      <c r="A38" s="173" t="s">
        <v>68</v>
      </c>
      <c r="B38" s="174" t="s">
        <v>247</v>
      </c>
      <c r="C38" s="175" t="s">
        <v>148</v>
      </c>
      <c r="D38" s="149">
        <v>125</v>
      </c>
      <c r="E38" s="149">
        <v>88</v>
      </c>
      <c r="F38" s="149">
        <f>E38/8*12</f>
        <v>132</v>
      </c>
      <c r="G38" s="167">
        <v>0</v>
      </c>
      <c r="H38" s="149"/>
      <c r="I38" s="149">
        <f>H38/8*12</f>
        <v>0</v>
      </c>
      <c r="J38" s="150">
        <f t="shared" si="2"/>
        <v>0</v>
      </c>
      <c r="K38" s="154">
        <f t="shared" si="2"/>
        <v>0</v>
      </c>
      <c r="L38" s="155">
        <f t="shared" si="3"/>
        <v>0</v>
      </c>
      <c r="M38" s="153"/>
      <c r="N38" s="153"/>
      <c r="O38" s="153"/>
      <c r="P38" s="153"/>
      <c r="S38" s="266"/>
    </row>
    <row r="39" spans="1:19" s="5" customFormat="1" ht="43.5" customHeight="1" x14ac:dyDescent="0.2">
      <c r="A39" s="176" t="s">
        <v>303</v>
      </c>
      <c r="B39" s="171" t="s">
        <v>55</v>
      </c>
      <c r="C39" s="177" t="s">
        <v>415</v>
      </c>
      <c r="D39" s="149">
        <v>15</v>
      </c>
      <c r="E39" s="149">
        <v>0</v>
      </c>
      <c r="F39" s="149">
        <v>15</v>
      </c>
      <c r="G39" s="178">
        <f t="shared" ref="G39:L41" si="12">G40</f>
        <v>0</v>
      </c>
      <c r="H39" s="178">
        <f t="shared" si="12"/>
        <v>0</v>
      </c>
      <c r="I39" s="178">
        <f t="shared" si="12"/>
        <v>1402.9</v>
      </c>
      <c r="J39" s="178">
        <f>J40+J44</f>
        <v>798.6</v>
      </c>
      <c r="K39" s="178">
        <f t="shared" si="12"/>
        <v>557.14280000000008</v>
      </c>
      <c r="L39" s="178">
        <f t="shared" si="12"/>
        <v>587.78565400000002</v>
      </c>
      <c r="M39" s="179"/>
      <c r="N39" s="179"/>
      <c r="O39" s="179"/>
      <c r="P39" s="179"/>
      <c r="S39" s="266"/>
    </row>
    <row r="40" spans="1:19" s="5" customFormat="1" ht="31.5" customHeight="1" x14ac:dyDescent="0.2">
      <c r="A40" s="180" t="s">
        <v>66</v>
      </c>
      <c r="B40" s="165" t="s">
        <v>416</v>
      </c>
      <c r="C40" s="181" t="s">
        <v>417</v>
      </c>
      <c r="D40" s="149" t="e">
        <f>D41+#REF!</f>
        <v>#REF!</v>
      </c>
      <c r="E40" s="149" t="e">
        <f>E41+#REF!</f>
        <v>#REF!</v>
      </c>
      <c r="F40" s="149" t="e">
        <f>F41+#REF!</f>
        <v>#REF!</v>
      </c>
      <c r="G40" s="150">
        <f t="shared" si="12"/>
        <v>0</v>
      </c>
      <c r="H40" s="150">
        <f t="shared" si="12"/>
        <v>0</v>
      </c>
      <c r="I40" s="150">
        <f t="shared" si="12"/>
        <v>1402.9</v>
      </c>
      <c r="J40" s="150">
        <f t="shared" si="12"/>
        <v>526.6</v>
      </c>
      <c r="K40" s="142">
        <f t="shared" si="12"/>
        <v>557.14280000000008</v>
      </c>
      <c r="L40" s="142">
        <f t="shared" si="12"/>
        <v>587.78565400000002</v>
      </c>
      <c r="M40" s="179"/>
      <c r="N40" s="179"/>
      <c r="O40" s="179"/>
      <c r="P40" s="179"/>
      <c r="R40" s="259">
        <f>(J9+J50)*0.233</f>
        <v>21211.807399999998</v>
      </c>
      <c r="S40" s="266"/>
    </row>
    <row r="41" spans="1:19" s="5" customFormat="1" ht="45" customHeight="1" x14ac:dyDescent="0.2">
      <c r="A41" s="180" t="s">
        <v>67</v>
      </c>
      <c r="B41" s="165" t="s">
        <v>418</v>
      </c>
      <c r="C41" s="182" t="s">
        <v>419</v>
      </c>
      <c r="D41" s="166">
        <f>D42+D51+D48</f>
        <v>11683.4</v>
      </c>
      <c r="E41" s="166">
        <f>E42+E51+E48</f>
        <v>8755.2000000000007</v>
      </c>
      <c r="F41" s="166">
        <f>F42+F51+F48</f>
        <v>11683.4</v>
      </c>
      <c r="G41" s="150">
        <f>G42</f>
        <v>0</v>
      </c>
      <c r="H41" s="150">
        <f>H42</f>
        <v>0</v>
      </c>
      <c r="I41" s="150">
        <f t="shared" si="12"/>
        <v>1402.9</v>
      </c>
      <c r="J41" s="150">
        <f t="shared" si="12"/>
        <v>526.6</v>
      </c>
      <c r="K41" s="150">
        <f t="shared" si="12"/>
        <v>557.14280000000008</v>
      </c>
      <c r="L41" s="150">
        <f t="shared" si="12"/>
        <v>587.78565400000002</v>
      </c>
      <c r="M41" s="179"/>
      <c r="N41" s="179"/>
      <c r="O41" s="179"/>
      <c r="P41" s="179"/>
      <c r="S41" s="266"/>
    </row>
    <row r="42" spans="1:19" s="4" customFormat="1" ht="73.5" customHeight="1" x14ac:dyDescent="0.2">
      <c r="A42" s="180" t="s">
        <v>68</v>
      </c>
      <c r="B42" s="165" t="s">
        <v>420</v>
      </c>
      <c r="C42" s="182" t="s">
        <v>148</v>
      </c>
      <c r="D42" s="183">
        <f>D47</f>
        <v>5841.7</v>
      </c>
      <c r="E42" s="183">
        <f>E47</f>
        <v>4377.6000000000004</v>
      </c>
      <c r="F42" s="183">
        <f>F47</f>
        <v>5841.7</v>
      </c>
      <c r="G42" s="150">
        <v>0</v>
      </c>
      <c r="H42" s="150">
        <v>0</v>
      </c>
      <c r="I42" s="150">
        <v>1402.9</v>
      </c>
      <c r="J42" s="150">
        <v>526.6</v>
      </c>
      <c r="K42" s="150">
        <f>J42*1.058</f>
        <v>557.14280000000008</v>
      </c>
      <c r="L42" s="150">
        <f>K42*1.055</f>
        <v>587.78565400000002</v>
      </c>
      <c r="M42" s="184"/>
      <c r="N42" s="184"/>
      <c r="O42" s="184"/>
      <c r="P42" s="184"/>
      <c r="S42" s="264"/>
    </row>
    <row r="43" spans="1:19" s="5" customFormat="1" ht="24.75" hidden="1" customHeight="1" thickBot="1" x14ac:dyDescent="0.25">
      <c r="A43" s="138" t="s">
        <v>303</v>
      </c>
      <c r="B43" s="139" t="s">
        <v>18</v>
      </c>
      <c r="C43" s="140" t="s">
        <v>17</v>
      </c>
      <c r="D43" s="185">
        <v>15</v>
      </c>
      <c r="E43" s="185">
        <v>0</v>
      </c>
      <c r="F43" s="185">
        <v>15</v>
      </c>
      <c r="G43" s="141">
        <f t="shared" ref="G43:P44" si="13">G44</f>
        <v>30</v>
      </c>
      <c r="H43" s="141">
        <f t="shared" si="13"/>
        <v>19.8</v>
      </c>
      <c r="I43" s="141">
        <f t="shared" si="13"/>
        <v>35</v>
      </c>
      <c r="J43" s="142">
        <f t="shared" si="13"/>
        <v>272</v>
      </c>
      <c r="K43" s="186">
        <f t="shared" si="13"/>
        <v>287.77600000000001</v>
      </c>
      <c r="L43" s="187">
        <f t="shared" si="13"/>
        <v>303.60368</v>
      </c>
      <c r="M43" s="145">
        <f t="shared" si="13"/>
        <v>68</v>
      </c>
      <c r="N43" s="145">
        <f t="shared" si="13"/>
        <v>68</v>
      </c>
      <c r="O43" s="145">
        <f t="shared" si="13"/>
        <v>68</v>
      </c>
      <c r="P43" s="145">
        <f t="shared" si="13"/>
        <v>68</v>
      </c>
      <c r="S43" s="266"/>
    </row>
    <row r="44" spans="1:19" s="5" customFormat="1" ht="30" customHeight="1" x14ac:dyDescent="0.2">
      <c r="A44" s="146" t="s">
        <v>429</v>
      </c>
      <c r="B44" s="165" t="s">
        <v>47</v>
      </c>
      <c r="C44" s="188" t="s">
        <v>52</v>
      </c>
      <c r="D44" s="189" t="e">
        <f>D45+#REF!</f>
        <v>#REF!</v>
      </c>
      <c r="E44" s="189" t="e">
        <f>E45+#REF!</f>
        <v>#REF!</v>
      </c>
      <c r="F44" s="189" t="e">
        <f>F45+#REF!</f>
        <v>#REF!</v>
      </c>
      <c r="G44" s="149">
        <f t="shared" si="13"/>
        <v>30</v>
      </c>
      <c r="H44" s="149">
        <f t="shared" si="13"/>
        <v>19.8</v>
      </c>
      <c r="I44" s="149">
        <f t="shared" si="13"/>
        <v>35</v>
      </c>
      <c r="J44" s="150">
        <f t="shared" si="13"/>
        <v>272</v>
      </c>
      <c r="K44" s="190">
        <f t="shared" si="13"/>
        <v>287.77600000000001</v>
      </c>
      <c r="L44" s="152">
        <f t="shared" si="13"/>
        <v>303.60368</v>
      </c>
      <c r="M44" s="153">
        <f t="shared" si="13"/>
        <v>68</v>
      </c>
      <c r="N44" s="153">
        <f t="shared" si="13"/>
        <v>68</v>
      </c>
      <c r="O44" s="153">
        <f t="shared" si="13"/>
        <v>68</v>
      </c>
      <c r="P44" s="153">
        <f t="shared" si="13"/>
        <v>68</v>
      </c>
      <c r="S44" s="266"/>
    </row>
    <row r="45" spans="1:19" s="5" customFormat="1" ht="57" customHeight="1" x14ac:dyDescent="0.2">
      <c r="A45" s="146" t="s">
        <v>430</v>
      </c>
      <c r="B45" s="165" t="s">
        <v>51</v>
      </c>
      <c r="C45" s="188" t="s">
        <v>428</v>
      </c>
      <c r="D45" s="166">
        <f>D46+D52+D49</f>
        <v>6635.2</v>
      </c>
      <c r="E45" s="166">
        <f>E46+E52+E49</f>
        <v>4901.8</v>
      </c>
      <c r="F45" s="166">
        <f>F46+F52+F49</f>
        <v>6635.2</v>
      </c>
      <c r="G45" s="149">
        <f t="shared" ref="G45:L45" si="14">G46+G47</f>
        <v>30</v>
      </c>
      <c r="H45" s="149">
        <f t="shared" si="14"/>
        <v>19.8</v>
      </c>
      <c r="I45" s="149">
        <f t="shared" si="14"/>
        <v>35</v>
      </c>
      <c r="J45" s="150">
        <f t="shared" si="14"/>
        <v>272</v>
      </c>
      <c r="K45" s="191">
        <f t="shared" si="14"/>
        <v>287.77600000000001</v>
      </c>
      <c r="L45" s="192">
        <f t="shared" si="14"/>
        <v>303.60368</v>
      </c>
      <c r="M45" s="153">
        <f>M46+M47</f>
        <v>68</v>
      </c>
      <c r="N45" s="153">
        <f>N46+N47</f>
        <v>68</v>
      </c>
      <c r="O45" s="153">
        <f>O46+O47</f>
        <v>68</v>
      </c>
      <c r="P45" s="153">
        <f>P46+P47</f>
        <v>68</v>
      </c>
      <c r="Q45" s="117"/>
      <c r="S45" s="266"/>
    </row>
    <row r="46" spans="1:19" s="4" customFormat="1" ht="53.25" customHeight="1" thickBot="1" x14ac:dyDescent="0.25">
      <c r="A46" s="146" t="s">
        <v>431</v>
      </c>
      <c r="B46" s="147" t="s">
        <v>160</v>
      </c>
      <c r="C46" s="188" t="s">
        <v>206</v>
      </c>
      <c r="D46" s="183">
        <f>D48</f>
        <v>5841.7</v>
      </c>
      <c r="E46" s="183">
        <f>E48</f>
        <v>4377.6000000000004</v>
      </c>
      <c r="F46" s="183">
        <f>F48</f>
        <v>5841.7</v>
      </c>
      <c r="G46" s="149">
        <v>20</v>
      </c>
      <c r="H46" s="149">
        <v>19.8</v>
      </c>
      <c r="I46" s="149">
        <v>30</v>
      </c>
      <c r="J46" s="150">
        <f>10+262</f>
        <v>272</v>
      </c>
      <c r="K46" s="154">
        <f t="shared" si="2"/>
        <v>287.77600000000001</v>
      </c>
      <c r="L46" s="155">
        <f t="shared" si="3"/>
        <v>303.60368</v>
      </c>
      <c r="M46" s="153">
        <f>J46/4</f>
        <v>68</v>
      </c>
      <c r="N46" s="153">
        <f>J46/4</f>
        <v>68</v>
      </c>
      <c r="O46" s="153">
        <f>J46/4</f>
        <v>68</v>
      </c>
      <c r="P46" s="153">
        <f>J46/4</f>
        <v>68</v>
      </c>
      <c r="S46" s="264"/>
    </row>
    <row r="47" spans="1:19" s="6" customFormat="1" ht="61.5" hidden="1" customHeight="1" thickBot="1" x14ac:dyDescent="0.25">
      <c r="A47" s="146" t="s">
        <v>432</v>
      </c>
      <c r="B47" s="147" t="s">
        <v>171</v>
      </c>
      <c r="C47" s="148" t="s">
        <v>207</v>
      </c>
      <c r="D47" s="183">
        <f>D48</f>
        <v>5841.7</v>
      </c>
      <c r="E47" s="183">
        <f>E48</f>
        <v>4377.6000000000004</v>
      </c>
      <c r="F47" s="183">
        <f>F48</f>
        <v>5841.7</v>
      </c>
      <c r="G47" s="149">
        <v>10</v>
      </c>
      <c r="H47" s="149">
        <v>0</v>
      </c>
      <c r="I47" s="149">
        <v>5</v>
      </c>
      <c r="J47" s="150">
        <v>0</v>
      </c>
      <c r="K47" s="154">
        <f t="shared" si="2"/>
        <v>0</v>
      </c>
      <c r="L47" s="155">
        <f t="shared" si="3"/>
        <v>0</v>
      </c>
      <c r="M47" s="149">
        <v>0</v>
      </c>
      <c r="N47" s="149">
        <v>0</v>
      </c>
      <c r="O47" s="149">
        <v>0</v>
      </c>
      <c r="P47" s="149">
        <v>0</v>
      </c>
      <c r="S47" s="265"/>
    </row>
    <row r="48" spans="1:19" s="6" customFormat="1" ht="50.25" customHeight="1" thickBot="1" x14ac:dyDescent="0.25">
      <c r="A48" s="130" t="s">
        <v>45</v>
      </c>
      <c r="B48" s="131" t="s">
        <v>19</v>
      </c>
      <c r="C48" s="132" t="s">
        <v>161</v>
      </c>
      <c r="D48" s="193">
        <v>5841.7</v>
      </c>
      <c r="E48" s="193">
        <v>4377.6000000000004</v>
      </c>
      <c r="F48" s="193">
        <v>5841.7</v>
      </c>
      <c r="G48" s="133">
        <f t="shared" ref="G48:P48" si="15">G49</f>
        <v>22002.800000000003</v>
      </c>
      <c r="H48" s="133">
        <f t="shared" si="15"/>
        <v>6463.3</v>
      </c>
      <c r="I48" s="133">
        <f t="shared" si="15"/>
        <v>19569.800000000003</v>
      </c>
      <c r="J48" s="134">
        <f t="shared" si="15"/>
        <v>66122.899999999994</v>
      </c>
      <c r="K48" s="194">
        <f t="shared" si="15"/>
        <v>60474.2</v>
      </c>
      <c r="L48" s="195">
        <f t="shared" si="15"/>
        <v>60616</v>
      </c>
      <c r="M48" s="137">
        <f t="shared" si="15"/>
        <v>16530.724999999999</v>
      </c>
      <c r="N48" s="137">
        <f t="shared" si="15"/>
        <v>16530.724999999999</v>
      </c>
      <c r="O48" s="137">
        <f t="shared" si="15"/>
        <v>16530.724999999999</v>
      </c>
      <c r="P48" s="137">
        <f t="shared" si="15"/>
        <v>16530.724999999999</v>
      </c>
      <c r="S48" s="265"/>
    </row>
    <row r="49" spans="1:19" s="6" customFormat="1" ht="42.75" customHeight="1" thickBot="1" x14ac:dyDescent="0.25">
      <c r="A49" s="138">
        <v>5</v>
      </c>
      <c r="B49" s="139" t="s">
        <v>150</v>
      </c>
      <c r="C49" s="140" t="s">
        <v>339</v>
      </c>
      <c r="D49" s="141">
        <v>0</v>
      </c>
      <c r="E49" s="141">
        <v>0</v>
      </c>
      <c r="F49" s="141">
        <v>0</v>
      </c>
      <c r="G49" s="141">
        <f t="shared" ref="G49:P49" si="16">G50+G56+G53</f>
        <v>22002.800000000003</v>
      </c>
      <c r="H49" s="141">
        <f t="shared" si="16"/>
        <v>6463.3</v>
      </c>
      <c r="I49" s="141">
        <f t="shared" si="16"/>
        <v>19569.800000000003</v>
      </c>
      <c r="J49" s="142">
        <f>J50+J56+J53</f>
        <v>66122.899999999994</v>
      </c>
      <c r="K49" s="196">
        <f t="shared" si="16"/>
        <v>60474.2</v>
      </c>
      <c r="L49" s="197">
        <f t="shared" si="16"/>
        <v>60616</v>
      </c>
      <c r="M49" s="145">
        <f t="shared" si="16"/>
        <v>16530.724999999999</v>
      </c>
      <c r="N49" s="145">
        <f t="shared" si="16"/>
        <v>16530.724999999999</v>
      </c>
      <c r="O49" s="145">
        <f t="shared" si="16"/>
        <v>16530.724999999999</v>
      </c>
      <c r="P49" s="145">
        <f t="shared" si="16"/>
        <v>16530.724999999999</v>
      </c>
      <c r="S49" s="265"/>
    </row>
    <row r="50" spans="1:19" s="5" customFormat="1" ht="36.75" customHeight="1" x14ac:dyDescent="0.2">
      <c r="A50" s="146" t="s">
        <v>69</v>
      </c>
      <c r="B50" s="147" t="s">
        <v>56</v>
      </c>
      <c r="C50" s="148" t="s">
        <v>151</v>
      </c>
      <c r="D50" s="149">
        <f>D51</f>
        <v>0</v>
      </c>
      <c r="E50" s="149">
        <f>E51</f>
        <v>0</v>
      </c>
      <c r="F50" s="149">
        <f>F51</f>
        <v>0</v>
      </c>
      <c r="G50" s="149">
        <f t="shared" ref="G50:L50" si="17">G52</f>
        <v>8472</v>
      </c>
      <c r="H50" s="149">
        <f t="shared" si="17"/>
        <v>5648</v>
      </c>
      <c r="I50" s="149">
        <f>H50/8*12</f>
        <v>8472</v>
      </c>
      <c r="J50" s="150">
        <f t="shared" si="17"/>
        <v>64592.2</v>
      </c>
      <c r="K50" s="198">
        <f t="shared" si="17"/>
        <v>58000</v>
      </c>
      <c r="L50" s="199">
        <f t="shared" si="17"/>
        <v>58000</v>
      </c>
      <c r="M50" s="153">
        <f>M52</f>
        <v>16148.05</v>
      </c>
      <c r="N50" s="153">
        <f>N52</f>
        <v>16148.05</v>
      </c>
      <c r="O50" s="153">
        <f>O52</f>
        <v>16148.05</v>
      </c>
      <c r="P50" s="153">
        <f>P52</f>
        <v>16148.05</v>
      </c>
      <c r="S50" s="266"/>
    </row>
    <row r="51" spans="1:19" s="5" customFormat="1" ht="63" customHeight="1" x14ac:dyDescent="0.2">
      <c r="A51" s="146" t="s">
        <v>76</v>
      </c>
      <c r="B51" s="147" t="s">
        <v>59</v>
      </c>
      <c r="C51" s="148" t="s">
        <v>152</v>
      </c>
      <c r="D51" s="149">
        <v>0</v>
      </c>
      <c r="E51" s="149">
        <v>0</v>
      </c>
      <c r="F51" s="149">
        <v>0</v>
      </c>
      <c r="G51" s="149">
        <f t="shared" ref="G51:P51" si="18">G52</f>
        <v>8472</v>
      </c>
      <c r="H51" s="149">
        <f t="shared" si="18"/>
        <v>5648</v>
      </c>
      <c r="I51" s="149">
        <f>H51/8*12</f>
        <v>8472</v>
      </c>
      <c r="J51" s="150">
        <f t="shared" si="18"/>
        <v>64592.2</v>
      </c>
      <c r="K51" s="200">
        <f t="shared" si="18"/>
        <v>58000</v>
      </c>
      <c r="L51" s="201">
        <f t="shared" si="18"/>
        <v>58000</v>
      </c>
      <c r="M51" s="153">
        <f t="shared" si="18"/>
        <v>16148.05</v>
      </c>
      <c r="N51" s="153">
        <f t="shared" si="18"/>
        <v>16148.05</v>
      </c>
      <c r="O51" s="153">
        <f t="shared" si="18"/>
        <v>16148.05</v>
      </c>
      <c r="P51" s="153">
        <f t="shared" si="18"/>
        <v>16148.05</v>
      </c>
      <c r="S51" s="266"/>
    </row>
    <row r="52" spans="1:19" s="5" customFormat="1" ht="57" customHeight="1" thickBot="1" x14ac:dyDescent="0.25">
      <c r="A52" s="146" t="s">
        <v>149</v>
      </c>
      <c r="B52" s="147" t="s">
        <v>58</v>
      </c>
      <c r="C52" s="148" t="s">
        <v>213</v>
      </c>
      <c r="D52" s="202">
        <f>D53+D57</f>
        <v>793.50000000000011</v>
      </c>
      <c r="E52" s="202">
        <f>E53+E57</f>
        <v>524.20000000000005</v>
      </c>
      <c r="F52" s="202">
        <f>F53+F57</f>
        <v>793.50000000000011</v>
      </c>
      <c r="G52" s="149">
        <v>8472</v>
      </c>
      <c r="H52" s="149">
        <v>5648</v>
      </c>
      <c r="I52" s="149">
        <f>H52/8*12</f>
        <v>8472</v>
      </c>
      <c r="J52" s="150">
        <v>64592.2</v>
      </c>
      <c r="K52" s="203">
        <v>58000</v>
      </c>
      <c r="L52" s="204">
        <v>58000</v>
      </c>
      <c r="M52" s="153">
        <f>J52/4</f>
        <v>16148.05</v>
      </c>
      <c r="N52" s="153">
        <f>J52/4</f>
        <v>16148.05</v>
      </c>
      <c r="O52" s="153">
        <f>J52/4</f>
        <v>16148.05</v>
      </c>
      <c r="P52" s="153">
        <f>J52/4</f>
        <v>16148.05</v>
      </c>
      <c r="S52" s="266"/>
    </row>
    <row r="53" spans="1:19" s="5" customFormat="1" ht="53.25" hidden="1" customHeight="1" thickBot="1" x14ac:dyDescent="0.25">
      <c r="A53" s="138">
        <v>6</v>
      </c>
      <c r="B53" s="139" t="s">
        <v>220</v>
      </c>
      <c r="C53" s="140" t="s">
        <v>340</v>
      </c>
      <c r="D53" s="185">
        <f>D54</f>
        <v>565.40000000000009</v>
      </c>
      <c r="E53" s="185">
        <f t="shared" ref="E53:L54" si="19">E54</f>
        <v>410.1</v>
      </c>
      <c r="F53" s="185">
        <f t="shared" si="19"/>
        <v>565.40000000000009</v>
      </c>
      <c r="G53" s="141">
        <f t="shared" si="19"/>
        <v>11982.7</v>
      </c>
      <c r="H53" s="141">
        <f t="shared" si="19"/>
        <v>0</v>
      </c>
      <c r="I53" s="141">
        <f t="shared" si="19"/>
        <v>9982.7000000000007</v>
      </c>
      <c r="J53" s="142">
        <f t="shared" si="19"/>
        <v>0</v>
      </c>
      <c r="K53" s="186">
        <f t="shared" si="19"/>
        <v>0</v>
      </c>
      <c r="L53" s="187">
        <f t="shared" si="19"/>
        <v>0</v>
      </c>
      <c r="M53" s="145">
        <v>0</v>
      </c>
      <c r="N53" s="145">
        <v>0</v>
      </c>
      <c r="O53" s="145">
        <v>0</v>
      </c>
      <c r="P53" s="145">
        <v>0</v>
      </c>
      <c r="S53" s="266"/>
    </row>
    <row r="54" spans="1:19" s="6" customFormat="1" ht="13.5" hidden="1" thickBot="1" x14ac:dyDescent="0.25">
      <c r="A54" s="205" t="s">
        <v>139</v>
      </c>
      <c r="B54" s="206" t="s">
        <v>221</v>
      </c>
      <c r="C54" s="207" t="s">
        <v>222</v>
      </c>
      <c r="D54" s="167">
        <f>D55+D56</f>
        <v>565.40000000000009</v>
      </c>
      <c r="E54" s="167">
        <f>E55+E56</f>
        <v>410.1</v>
      </c>
      <c r="F54" s="167">
        <f>F55+F56</f>
        <v>565.40000000000009</v>
      </c>
      <c r="G54" s="167">
        <f t="shared" si="19"/>
        <v>11982.7</v>
      </c>
      <c r="H54" s="167">
        <f t="shared" si="19"/>
        <v>0</v>
      </c>
      <c r="I54" s="167">
        <f t="shared" si="19"/>
        <v>9982.7000000000007</v>
      </c>
      <c r="J54" s="208">
        <f t="shared" si="19"/>
        <v>0</v>
      </c>
      <c r="K54" s="209">
        <f t="shared" si="19"/>
        <v>0</v>
      </c>
      <c r="L54" s="210">
        <f t="shared" si="19"/>
        <v>0</v>
      </c>
      <c r="M54" s="153">
        <v>0</v>
      </c>
      <c r="N54" s="153">
        <v>0</v>
      </c>
      <c r="O54" s="153">
        <v>0</v>
      </c>
      <c r="P54" s="153">
        <v>0</v>
      </c>
      <c r="S54" s="265"/>
    </row>
    <row r="55" spans="1:19" ht="53.25" hidden="1" customHeight="1" thickBot="1" x14ac:dyDescent="0.25">
      <c r="A55" s="146" t="s">
        <v>49</v>
      </c>
      <c r="B55" s="147" t="s">
        <v>235</v>
      </c>
      <c r="C55" s="148" t="s">
        <v>236</v>
      </c>
      <c r="D55" s="149">
        <v>552.70000000000005</v>
      </c>
      <c r="E55" s="149">
        <v>410.1</v>
      </c>
      <c r="F55" s="149">
        <v>552.70000000000005</v>
      </c>
      <c r="G55" s="167">
        <v>11982.7</v>
      </c>
      <c r="H55" s="167">
        <v>0</v>
      </c>
      <c r="I55" s="149">
        <v>9982.7000000000007</v>
      </c>
      <c r="J55" s="208">
        <v>0</v>
      </c>
      <c r="K55" s="211"/>
      <c r="L55" s="212"/>
      <c r="M55" s="153">
        <v>0</v>
      </c>
      <c r="N55" s="153">
        <v>0</v>
      </c>
      <c r="O55" s="153">
        <v>0</v>
      </c>
      <c r="P55" s="153">
        <v>0</v>
      </c>
    </row>
    <row r="56" spans="1:19" ht="42" customHeight="1" thickBot="1" x14ac:dyDescent="0.25">
      <c r="A56" s="138">
        <v>7</v>
      </c>
      <c r="B56" s="139" t="s">
        <v>82</v>
      </c>
      <c r="C56" s="140" t="s">
        <v>341</v>
      </c>
      <c r="D56" s="185">
        <v>12.7</v>
      </c>
      <c r="E56" s="185">
        <v>0</v>
      </c>
      <c r="F56" s="185">
        <v>12.7</v>
      </c>
      <c r="G56" s="141">
        <f t="shared" ref="G56:L56" si="20">G57+G61</f>
        <v>1548.1</v>
      </c>
      <c r="H56" s="141">
        <f t="shared" si="20"/>
        <v>815.3</v>
      </c>
      <c r="I56" s="141">
        <f t="shared" si="20"/>
        <v>1115.0999999999999</v>
      </c>
      <c r="J56" s="142">
        <f>J57+J61</f>
        <v>1530.7</v>
      </c>
      <c r="K56" s="186">
        <f t="shared" si="20"/>
        <v>2474.1999999999998</v>
      </c>
      <c r="L56" s="187">
        <f t="shared" si="20"/>
        <v>2616</v>
      </c>
      <c r="M56" s="145">
        <f>M57+M61</f>
        <v>382.67500000000001</v>
      </c>
      <c r="N56" s="145">
        <f>N57+N61</f>
        <v>382.67500000000001</v>
      </c>
      <c r="O56" s="145">
        <f>O57+O61</f>
        <v>382.67500000000001</v>
      </c>
      <c r="P56" s="145">
        <f>P57+P61</f>
        <v>382.67500000000001</v>
      </c>
    </row>
    <row r="57" spans="1:19" ht="43.5" customHeight="1" x14ac:dyDescent="0.2">
      <c r="A57" s="173" t="s">
        <v>154</v>
      </c>
      <c r="B57" s="174" t="s">
        <v>84</v>
      </c>
      <c r="C57" s="175" t="s">
        <v>83</v>
      </c>
      <c r="D57" s="183">
        <f>D59</f>
        <v>228.1</v>
      </c>
      <c r="E57" s="183">
        <f>E59</f>
        <v>114.1</v>
      </c>
      <c r="F57" s="183">
        <f>F59</f>
        <v>228.1</v>
      </c>
      <c r="G57" s="167">
        <f t="shared" ref="G57:P57" si="21">G58</f>
        <v>662.2</v>
      </c>
      <c r="H57" s="167">
        <f t="shared" si="21"/>
        <v>485.4</v>
      </c>
      <c r="I57" s="149">
        <f>H57/8*12</f>
        <v>728.09999999999991</v>
      </c>
      <c r="J57" s="208">
        <f t="shared" si="21"/>
        <v>804.2</v>
      </c>
      <c r="K57" s="209">
        <f t="shared" si="21"/>
        <v>740.1</v>
      </c>
      <c r="L57" s="210">
        <f t="shared" si="21"/>
        <v>780.8</v>
      </c>
      <c r="M57" s="153">
        <f t="shared" si="21"/>
        <v>201.05</v>
      </c>
      <c r="N57" s="153">
        <f t="shared" si="21"/>
        <v>201.05</v>
      </c>
      <c r="O57" s="153">
        <f t="shared" si="21"/>
        <v>201.05</v>
      </c>
      <c r="P57" s="153">
        <f t="shared" si="21"/>
        <v>201.05</v>
      </c>
    </row>
    <row r="58" spans="1:19" ht="65.099999999999994" customHeight="1" x14ac:dyDescent="0.2">
      <c r="A58" s="173" t="s">
        <v>70</v>
      </c>
      <c r="B58" s="174" t="s">
        <v>85</v>
      </c>
      <c r="C58" s="175" t="s">
        <v>304</v>
      </c>
      <c r="D58" s="149">
        <v>228.1</v>
      </c>
      <c r="E58" s="149">
        <v>114.1</v>
      </c>
      <c r="F58" s="149">
        <v>228.1</v>
      </c>
      <c r="G58" s="167">
        <f t="shared" ref="G58:L58" si="22">G59+G60</f>
        <v>662.2</v>
      </c>
      <c r="H58" s="167">
        <f t="shared" si="22"/>
        <v>485.4</v>
      </c>
      <c r="I58" s="167">
        <f t="shared" si="22"/>
        <v>662.2</v>
      </c>
      <c r="J58" s="208">
        <f>J59</f>
        <v>804.2</v>
      </c>
      <c r="K58" s="213">
        <f t="shared" si="22"/>
        <v>740.1</v>
      </c>
      <c r="L58" s="214">
        <f t="shared" si="22"/>
        <v>780.8</v>
      </c>
      <c r="M58" s="153">
        <f>J58/4</f>
        <v>201.05</v>
      </c>
      <c r="N58" s="153">
        <f>J58/4</f>
        <v>201.05</v>
      </c>
      <c r="O58" s="153">
        <f>J58/4</f>
        <v>201.05</v>
      </c>
      <c r="P58" s="153">
        <f>J58/4</f>
        <v>201.05</v>
      </c>
    </row>
    <row r="59" spans="1:19" ht="68.25" customHeight="1" x14ac:dyDescent="0.2">
      <c r="A59" s="146" t="s">
        <v>290</v>
      </c>
      <c r="B59" s="147" t="s">
        <v>130</v>
      </c>
      <c r="C59" s="215" t="s">
        <v>305</v>
      </c>
      <c r="D59" s="149">
        <v>228.1</v>
      </c>
      <c r="E59" s="149">
        <v>114.1</v>
      </c>
      <c r="F59" s="149">
        <v>228.1</v>
      </c>
      <c r="G59" s="167">
        <v>657.2</v>
      </c>
      <c r="H59" s="149">
        <v>485.4</v>
      </c>
      <c r="I59" s="149">
        <v>657.2</v>
      </c>
      <c r="J59" s="150">
        <v>804.2</v>
      </c>
      <c r="K59" s="191">
        <v>740.1</v>
      </c>
      <c r="L59" s="192">
        <v>780.8</v>
      </c>
      <c r="M59" s="153">
        <f>J59/4</f>
        <v>201.05</v>
      </c>
      <c r="N59" s="153">
        <f>J59/4</f>
        <v>201.05</v>
      </c>
      <c r="O59" s="153">
        <f>J59/4</f>
        <v>201.05</v>
      </c>
      <c r="P59" s="153">
        <f>J59/4</f>
        <v>201.05</v>
      </c>
    </row>
    <row r="60" spans="1:19" ht="93" customHeight="1" thickBot="1" x14ac:dyDescent="0.25">
      <c r="A60" s="146" t="s">
        <v>306</v>
      </c>
      <c r="B60" s="147" t="s">
        <v>126</v>
      </c>
      <c r="C60" s="215" t="s">
        <v>307</v>
      </c>
      <c r="D60" s="149">
        <v>228.1</v>
      </c>
      <c r="E60" s="149">
        <v>114.1</v>
      </c>
      <c r="F60" s="149">
        <v>228.1</v>
      </c>
      <c r="G60" s="149">
        <v>5</v>
      </c>
      <c r="H60" s="149"/>
      <c r="I60" s="149">
        <v>5</v>
      </c>
      <c r="J60" s="150">
        <v>5.9</v>
      </c>
      <c r="K60" s="216"/>
      <c r="L60" s="217"/>
      <c r="M60" s="153">
        <f>J60/4</f>
        <v>1.4750000000000001</v>
      </c>
      <c r="N60" s="153">
        <f>J60/4</f>
        <v>1.4750000000000001</v>
      </c>
      <c r="O60" s="153">
        <f>J60/4</f>
        <v>1.4750000000000001</v>
      </c>
      <c r="P60" s="153">
        <f>J60/4</f>
        <v>1.4750000000000001</v>
      </c>
    </row>
    <row r="61" spans="1:19" ht="52.5" customHeight="1" thickBot="1" x14ac:dyDescent="0.25">
      <c r="A61" s="146" t="s">
        <v>342</v>
      </c>
      <c r="B61" s="147" t="s">
        <v>81</v>
      </c>
      <c r="C61" s="215" t="s">
        <v>308</v>
      </c>
      <c r="D61" s="150" t="e">
        <f>D9+D44</f>
        <v>#REF!</v>
      </c>
      <c r="E61" s="150" t="e">
        <f>E9+E44</f>
        <v>#REF!</v>
      </c>
      <c r="F61" s="150" t="e">
        <f>F9+F44</f>
        <v>#REF!</v>
      </c>
      <c r="G61" s="149">
        <f t="shared" ref="G61:L61" si="23">G63+G64</f>
        <v>885.9</v>
      </c>
      <c r="H61" s="149">
        <f t="shared" si="23"/>
        <v>329.9</v>
      </c>
      <c r="I61" s="149">
        <f t="shared" si="23"/>
        <v>387</v>
      </c>
      <c r="J61" s="150">
        <f t="shared" si="23"/>
        <v>726.5</v>
      </c>
      <c r="K61" s="218">
        <f t="shared" si="23"/>
        <v>1734.1</v>
      </c>
      <c r="L61" s="219">
        <f t="shared" si="23"/>
        <v>1835.1999999999998</v>
      </c>
      <c r="M61" s="153">
        <f>M63+M64</f>
        <v>181.625</v>
      </c>
      <c r="N61" s="153">
        <f>N63+N64</f>
        <v>181.625</v>
      </c>
      <c r="O61" s="153">
        <f>O63+O64</f>
        <v>181.625</v>
      </c>
      <c r="P61" s="153">
        <f>P63+P64</f>
        <v>181.625</v>
      </c>
    </row>
    <row r="62" spans="1:19" ht="63.75" x14ac:dyDescent="0.2">
      <c r="A62" s="146" t="s">
        <v>209</v>
      </c>
      <c r="B62" s="147" t="s">
        <v>208</v>
      </c>
      <c r="C62" s="215" t="s">
        <v>210</v>
      </c>
      <c r="D62" s="220">
        <v>30381.3</v>
      </c>
      <c r="E62" s="220">
        <f>[1]ведомст.структ!I79</f>
        <v>20086.600000000002</v>
      </c>
      <c r="F62" s="220">
        <f>[1]ведомст.структ!J79</f>
        <v>30141.100000000002</v>
      </c>
      <c r="G62" s="221">
        <f t="shared" ref="G62:L62" si="24">G63+G64</f>
        <v>885.9</v>
      </c>
      <c r="H62" s="221">
        <f t="shared" si="24"/>
        <v>329.9</v>
      </c>
      <c r="I62" s="221">
        <f t="shared" si="24"/>
        <v>387</v>
      </c>
      <c r="J62" s="208">
        <f t="shared" si="24"/>
        <v>726.5</v>
      </c>
      <c r="K62" s="222">
        <f t="shared" si="24"/>
        <v>1734.1</v>
      </c>
      <c r="L62" s="223">
        <f t="shared" si="24"/>
        <v>1835.1999999999998</v>
      </c>
      <c r="M62" s="153">
        <f>M63+M64</f>
        <v>181.625</v>
      </c>
      <c r="N62" s="153">
        <f>N63+N64</f>
        <v>181.625</v>
      </c>
      <c r="O62" s="153">
        <f>O63+O64</f>
        <v>181.625</v>
      </c>
      <c r="P62" s="153">
        <f>P63+P64</f>
        <v>181.625</v>
      </c>
    </row>
    <row r="63" spans="1:19" ht="45" customHeight="1" x14ac:dyDescent="0.2">
      <c r="A63" s="146" t="s">
        <v>211</v>
      </c>
      <c r="B63" s="147" t="s">
        <v>86</v>
      </c>
      <c r="C63" s="148" t="s">
        <v>309</v>
      </c>
      <c r="D63" s="183" t="e">
        <f>D61-D62</f>
        <v>#REF!</v>
      </c>
      <c r="E63" s="183" t="e">
        <f>E61-E62</f>
        <v>#REF!</v>
      </c>
      <c r="F63" s="183" t="e">
        <f>F61-F62</f>
        <v>#REF!</v>
      </c>
      <c r="G63" s="149">
        <v>602.4</v>
      </c>
      <c r="H63" s="149">
        <v>258</v>
      </c>
      <c r="I63" s="149">
        <f>H63/8*12</f>
        <v>387</v>
      </c>
      <c r="J63" s="150">
        <v>726.5</v>
      </c>
      <c r="K63" s="224">
        <v>1155.3</v>
      </c>
      <c r="L63" s="192">
        <v>1218.8</v>
      </c>
      <c r="M63" s="153">
        <f>J63/4</f>
        <v>181.625</v>
      </c>
      <c r="N63" s="153">
        <f>J63/4</f>
        <v>181.625</v>
      </c>
      <c r="O63" s="153">
        <f>J63/4</f>
        <v>181.625</v>
      </c>
      <c r="P63" s="153">
        <f>J63/4</f>
        <v>181.625</v>
      </c>
    </row>
    <row r="64" spans="1:19" ht="46.5" customHeight="1" thickBot="1" x14ac:dyDescent="0.25">
      <c r="A64" s="146" t="s">
        <v>343</v>
      </c>
      <c r="B64" s="147" t="s">
        <v>257</v>
      </c>
      <c r="C64" s="148" t="s">
        <v>310</v>
      </c>
      <c r="D64" s="156"/>
      <c r="E64" s="225"/>
      <c r="F64" s="225"/>
      <c r="G64" s="149">
        <v>283.5</v>
      </c>
      <c r="H64" s="149">
        <v>71.900000000000006</v>
      </c>
      <c r="I64" s="149"/>
      <c r="J64" s="150">
        <v>0</v>
      </c>
      <c r="K64" s="224">
        <v>578.79999999999995</v>
      </c>
      <c r="L64" s="192">
        <v>616.4</v>
      </c>
      <c r="M64" s="153">
        <f>J64/4</f>
        <v>0</v>
      </c>
      <c r="N64" s="153">
        <f>J64/4</f>
        <v>0</v>
      </c>
      <c r="O64" s="153">
        <f>J64/4</f>
        <v>0</v>
      </c>
      <c r="P64" s="153">
        <f>J64/4</f>
        <v>0</v>
      </c>
    </row>
    <row r="65" spans="1:16" ht="19.5" thickBot="1" x14ac:dyDescent="0.25">
      <c r="A65" s="125"/>
      <c r="B65" s="226"/>
      <c r="C65" s="227" t="s">
        <v>8</v>
      </c>
      <c r="D65" s="220" t="e">
        <f>D61-D44</f>
        <v>#REF!</v>
      </c>
      <c r="E65" s="220" t="e">
        <f>E61-E44</f>
        <v>#REF!</v>
      </c>
      <c r="F65" s="220" t="e">
        <f>F61-F44</f>
        <v>#REF!</v>
      </c>
      <c r="G65" s="220">
        <f t="shared" ref="G65:P65" si="25">G9+G48</f>
        <v>51728.200000000004</v>
      </c>
      <c r="H65" s="220">
        <f t="shared" si="25"/>
        <v>23927.699999999997</v>
      </c>
      <c r="I65" s="220">
        <f t="shared" si="25"/>
        <v>48661.7</v>
      </c>
      <c r="J65" s="220">
        <f>J9+J48</f>
        <v>92568.5</v>
      </c>
      <c r="K65" s="228">
        <f t="shared" si="25"/>
        <v>87828.79</v>
      </c>
      <c r="L65" s="229">
        <f t="shared" si="25"/>
        <v>89475.092449999996</v>
      </c>
      <c r="M65" s="157">
        <f t="shared" si="25"/>
        <v>25029.891666666663</v>
      </c>
      <c r="N65" s="157">
        <f t="shared" si="25"/>
        <v>25029.891666666663</v>
      </c>
      <c r="O65" s="157">
        <f t="shared" si="25"/>
        <v>25029.891666666663</v>
      </c>
      <c r="P65" s="157">
        <f t="shared" si="25"/>
        <v>16664.224999999999</v>
      </c>
    </row>
    <row r="66" spans="1:16" ht="18.75" hidden="1" x14ac:dyDescent="0.2">
      <c r="A66" s="109"/>
      <c r="B66" s="108"/>
      <c r="C66" s="106" t="s">
        <v>11</v>
      </c>
      <c r="G66" s="110" t="e">
        <f>#REF!</f>
        <v>#REF!</v>
      </c>
      <c r="H66" s="110" t="e">
        <f>#REF!</f>
        <v>#REF!</v>
      </c>
      <c r="I66" s="110" t="e">
        <f>#REF!</f>
        <v>#REF!</v>
      </c>
      <c r="J66" s="110" t="e">
        <f>#REF!</f>
        <v>#REF!</v>
      </c>
      <c r="K66" s="110" t="e">
        <f>#REF!</f>
        <v>#REF!</v>
      </c>
      <c r="L66" s="110" t="e">
        <f>#REF!</f>
        <v>#REF!</v>
      </c>
    </row>
    <row r="67" spans="1:16" ht="18.75" hidden="1" x14ac:dyDescent="0.2">
      <c r="A67" s="109"/>
      <c r="B67" s="108"/>
      <c r="C67" s="104" t="s">
        <v>12</v>
      </c>
      <c r="G67" s="105" t="e">
        <f t="shared" ref="G67:L67" si="26">G65-G66</f>
        <v>#REF!</v>
      </c>
      <c r="H67" s="105" t="e">
        <f t="shared" si="26"/>
        <v>#REF!</v>
      </c>
      <c r="I67" s="105" t="e">
        <f t="shared" si="26"/>
        <v>#REF!</v>
      </c>
      <c r="J67" s="105" t="e">
        <f>J65-J66</f>
        <v>#REF!</v>
      </c>
      <c r="K67" s="105" t="e">
        <f t="shared" si="26"/>
        <v>#REF!</v>
      </c>
      <c r="L67" s="105" t="e">
        <f t="shared" si="26"/>
        <v>#REF!</v>
      </c>
    </row>
    <row r="68" spans="1:16" hidden="1" x14ac:dyDescent="0.2">
      <c r="A68" s="111"/>
    </row>
    <row r="69" spans="1:16" ht="19.5" hidden="1" thickBot="1" x14ac:dyDescent="0.25">
      <c r="A69" s="112"/>
      <c r="B69" s="113" t="s">
        <v>217</v>
      </c>
      <c r="C69" s="113"/>
      <c r="G69" s="103">
        <f t="shared" ref="G69:L69" si="27">G65-G48</f>
        <v>29725.4</v>
      </c>
      <c r="H69" s="103">
        <f t="shared" si="27"/>
        <v>17464.399999999998</v>
      </c>
      <c r="I69" s="103">
        <f t="shared" si="27"/>
        <v>29091.899999999994</v>
      </c>
      <c r="J69" s="103">
        <f t="shared" si="27"/>
        <v>26445.600000000006</v>
      </c>
      <c r="K69" s="103">
        <f t="shared" si="27"/>
        <v>27354.589999999997</v>
      </c>
      <c r="L69" s="103">
        <f t="shared" si="27"/>
        <v>28859.092449999996</v>
      </c>
    </row>
    <row r="70" spans="1:16" hidden="1" x14ac:dyDescent="0.2"/>
    <row r="71" spans="1:16" hidden="1" x14ac:dyDescent="0.2"/>
    <row r="72" spans="1:16" hidden="1" x14ac:dyDescent="0.2">
      <c r="J72" s="2">
        <f>J65-J56</f>
        <v>91037.8</v>
      </c>
    </row>
    <row r="73" spans="1:16" hidden="1" x14ac:dyDescent="0.2">
      <c r="J73" s="2">
        <f>J72*0.31</f>
        <v>28221.718000000001</v>
      </c>
    </row>
    <row r="74" spans="1:16" hidden="1" x14ac:dyDescent="0.2"/>
    <row r="75" spans="1:16" hidden="1" x14ac:dyDescent="0.2"/>
    <row r="77" spans="1:16" x14ac:dyDescent="0.2">
      <c r="P77" s="118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3" sqref="C3:E3"/>
    </sheetView>
  </sheetViews>
  <sheetFormatPr defaultRowHeight="12.75" x14ac:dyDescent="0.2"/>
  <cols>
    <col min="1" max="1" width="27.85546875" style="114" customWidth="1"/>
    <col min="2" max="2" width="46.85546875" style="114" customWidth="1"/>
    <col min="3" max="3" width="21.42578125" style="114" customWidth="1"/>
    <col min="4" max="4" width="16.42578125" style="114" customWidth="1"/>
    <col min="5" max="5" width="12.85546875" style="114" customWidth="1"/>
    <col min="6" max="16384" width="9.140625" style="114"/>
  </cols>
  <sheetData>
    <row r="1" spans="1:5" ht="38.25" customHeight="1" x14ac:dyDescent="0.2">
      <c r="A1" s="408"/>
      <c r="B1" s="254"/>
      <c r="C1" s="419" t="s">
        <v>626</v>
      </c>
      <c r="D1" s="419"/>
      <c r="E1" s="419"/>
    </row>
    <row r="2" spans="1:5" ht="12.75" customHeight="1" x14ac:dyDescent="0.2">
      <c r="B2" s="360"/>
      <c r="C2" s="420" t="s">
        <v>627</v>
      </c>
      <c r="D2" s="420"/>
      <c r="E2" s="420"/>
    </row>
    <row r="3" spans="1:5" ht="22.5" customHeight="1" x14ac:dyDescent="0.2">
      <c r="B3" s="406"/>
      <c r="C3" s="421" t="s">
        <v>628</v>
      </c>
      <c r="D3" s="421"/>
      <c r="E3" s="421"/>
    </row>
    <row r="4" spans="1:5" x14ac:dyDescent="0.2">
      <c r="A4" s="418" t="s">
        <v>623</v>
      </c>
      <c r="B4" s="418"/>
      <c r="C4" s="418"/>
      <c r="D4" s="418"/>
      <c r="E4" s="418"/>
    </row>
    <row r="5" spans="1:5" ht="52.5" customHeight="1" x14ac:dyDescent="0.2">
      <c r="A5" s="412" t="s">
        <v>624</v>
      </c>
      <c r="B5" s="412"/>
      <c r="C5" s="412"/>
      <c r="D5" s="412"/>
      <c r="E5" s="412"/>
    </row>
    <row r="6" spans="1:5" ht="15.75" x14ac:dyDescent="0.25">
      <c r="A6" s="417"/>
      <c r="B6" s="417"/>
      <c r="C6" s="417"/>
    </row>
    <row r="7" spans="1:5" ht="15" x14ac:dyDescent="0.2">
      <c r="A7" s="422" t="s">
        <v>402</v>
      </c>
      <c r="B7" s="422"/>
      <c r="C7" s="422"/>
    </row>
    <row r="8" spans="1:5" ht="25.5" x14ac:dyDescent="0.2">
      <c r="A8" s="255" t="s">
        <v>403</v>
      </c>
      <c r="B8" s="255" t="s">
        <v>404</v>
      </c>
      <c r="C8" s="407" t="s">
        <v>620</v>
      </c>
      <c r="D8" s="407" t="s">
        <v>621</v>
      </c>
      <c r="E8" s="407" t="s">
        <v>622</v>
      </c>
    </row>
    <row r="9" spans="1:5" ht="27" customHeight="1" x14ac:dyDescent="0.2">
      <c r="A9" s="423" t="s">
        <v>405</v>
      </c>
      <c r="B9" s="423"/>
      <c r="C9" s="255"/>
      <c r="D9" s="389"/>
      <c r="E9" s="389"/>
    </row>
    <row r="10" spans="1:5" ht="45" customHeight="1" x14ac:dyDescent="0.2">
      <c r="A10" s="358" t="s">
        <v>406</v>
      </c>
      <c r="B10" s="358" t="s">
        <v>407</v>
      </c>
      <c r="C10" s="256">
        <v>6950.2</v>
      </c>
      <c r="D10" s="157">
        <f>D11+D12</f>
        <v>-5921.5</v>
      </c>
      <c r="E10" s="389"/>
    </row>
    <row r="11" spans="1:5" ht="45" customHeight="1" x14ac:dyDescent="0.2">
      <c r="A11" s="358" t="s">
        <v>625</v>
      </c>
      <c r="B11" s="358" t="s">
        <v>408</v>
      </c>
      <c r="C11" s="257">
        <v>-93467.3</v>
      </c>
      <c r="D11" s="157">
        <v>-103782.8</v>
      </c>
      <c r="E11" s="409">
        <f>D11/C11</f>
        <v>1.1103648013797338</v>
      </c>
    </row>
    <row r="12" spans="1:5" ht="45" customHeight="1" x14ac:dyDescent="0.2">
      <c r="A12" s="358" t="s">
        <v>625</v>
      </c>
      <c r="B12" s="358" t="s">
        <v>409</v>
      </c>
      <c r="C12" s="257">
        <v>100417.5</v>
      </c>
      <c r="D12" s="157">
        <v>97861.3</v>
      </c>
      <c r="E12" s="409">
        <f>D12/C12</f>
        <v>0.9745442776408495</v>
      </c>
    </row>
    <row r="13" spans="1:5" ht="14.25" customHeight="1" x14ac:dyDescent="0.2">
      <c r="A13" s="416" t="s">
        <v>410</v>
      </c>
      <c r="B13" s="416"/>
      <c r="C13" s="257">
        <f>C12+C11</f>
        <v>6950.1999999999971</v>
      </c>
      <c r="D13" s="157">
        <f>D10</f>
        <v>-5921.5</v>
      </c>
      <c r="E13" s="389"/>
    </row>
    <row r="14" spans="1:5" ht="14.25" x14ac:dyDescent="0.2">
      <c r="A14" s="416" t="s">
        <v>411</v>
      </c>
      <c r="B14" s="416"/>
      <c r="C14" s="257">
        <f>C13</f>
        <v>6950.1999999999971</v>
      </c>
      <c r="D14" s="157">
        <f>D10</f>
        <v>-5921.5</v>
      </c>
      <c r="E14" s="389"/>
    </row>
  </sheetData>
  <mergeCells count="10">
    <mergeCell ref="C1:E1"/>
    <mergeCell ref="C2:E2"/>
    <mergeCell ref="C3:E3"/>
    <mergeCell ref="A7:C7"/>
    <mergeCell ref="A9:B9"/>
    <mergeCell ref="A13:B13"/>
    <mergeCell ref="A14:B14"/>
    <mergeCell ref="A6:C6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87" zoomScaleNormal="87" workbookViewId="0">
      <selection activeCell="A5" sqref="A5:O5"/>
    </sheetView>
  </sheetViews>
  <sheetFormatPr defaultColWidth="9.140625" defaultRowHeight="15" x14ac:dyDescent="0.2"/>
  <cols>
    <col min="1" max="1" width="5.7109375" style="366" customWidth="1"/>
    <col min="2" max="2" width="26.28515625" style="1" customWidth="1"/>
    <col min="3" max="3" width="42.28515625" style="2" customWidth="1"/>
    <col min="4" max="4" width="11.7109375" style="6" hidden="1" customWidth="1"/>
    <col min="5" max="5" width="17.140625" style="2" customWidth="1"/>
    <col min="6" max="6" width="12.7109375" style="2" hidden="1" customWidth="1"/>
    <col min="7" max="7" width="12" style="2" hidden="1" customWidth="1"/>
    <col min="8" max="8" width="10.140625" style="2" hidden="1" customWidth="1"/>
    <col min="9" max="11" width="0" style="2" hidden="1" customWidth="1"/>
    <col min="12" max="12" width="17" style="2" hidden="1" customWidth="1"/>
    <col min="13" max="13" width="16.5703125" style="2" hidden="1" customWidth="1"/>
    <col min="14" max="14" width="15.7109375" style="365" customWidth="1"/>
    <col min="15" max="15" width="19.42578125" style="366" customWidth="1"/>
    <col min="16" max="16384" width="9.140625" style="2"/>
  </cols>
  <sheetData>
    <row r="1" spans="1:17" ht="21" customHeight="1" x14ac:dyDescent="0.2">
      <c r="A1" s="369"/>
      <c r="B1" s="120"/>
      <c r="C1" s="356"/>
      <c r="D1" s="361"/>
      <c r="E1" s="356"/>
      <c r="F1" s="361"/>
      <c r="G1" s="361"/>
      <c r="H1" s="361"/>
      <c r="I1" s="361"/>
      <c r="J1" s="361"/>
      <c r="K1" s="361"/>
      <c r="O1" s="357" t="s">
        <v>629</v>
      </c>
    </row>
    <row r="2" spans="1:17" ht="34.5" customHeight="1" x14ac:dyDescent="0.2">
      <c r="A2" s="370"/>
      <c r="B2" s="121"/>
      <c r="C2" s="420" t="s">
        <v>627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310"/>
      <c r="Q2" s="310"/>
    </row>
    <row r="3" spans="1:17" ht="21" customHeight="1" x14ac:dyDescent="0.2">
      <c r="A3" s="370"/>
      <c r="B3" s="121"/>
      <c r="C3" s="121"/>
      <c r="D3" s="121"/>
      <c r="E3" s="122"/>
      <c r="F3" s="121"/>
      <c r="G3" s="121"/>
      <c r="H3" s="121"/>
      <c r="I3" s="121"/>
      <c r="J3" s="121"/>
      <c r="K3" s="121"/>
      <c r="O3" s="368" t="s">
        <v>628</v>
      </c>
    </row>
    <row r="4" spans="1:17" ht="22.5" customHeight="1" x14ac:dyDescent="0.2">
      <c r="A4" s="412" t="s">
        <v>606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</row>
    <row r="5" spans="1:17" ht="27.6" customHeight="1" x14ac:dyDescent="0.2">
      <c r="A5" s="412" t="s">
        <v>607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7" ht="27.6" customHeight="1" thickBot="1" x14ac:dyDescent="0.25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12"/>
    </row>
    <row r="7" spans="1:17" s="3" customFormat="1" ht="39" thickBot="1" x14ac:dyDescent="0.25">
      <c r="A7" s="124" t="s">
        <v>0</v>
      </c>
      <c r="B7" s="124" t="s">
        <v>10</v>
      </c>
      <c r="C7" s="125" t="s">
        <v>1</v>
      </c>
      <c r="D7" s="126" t="s">
        <v>215</v>
      </c>
      <c r="E7" s="126" t="s">
        <v>610</v>
      </c>
      <c r="F7" s="127" t="s">
        <v>254</v>
      </c>
      <c r="G7" s="128" t="s">
        <v>259</v>
      </c>
      <c r="H7" s="129" t="s">
        <v>394</v>
      </c>
      <c r="I7" s="129" t="s">
        <v>395</v>
      </c>
      <c r="J7" s="129" t="s">
        <v>396</v>
      </c>
      <c r="K7" s="129" t="s">
        <v>397</v>
      </c>
      <c r="L7" s="126" t="s">
        <v>322</v>
      </c>
      <c r="M7" s="126" t="s">
        <v>322</v>
      </c>
      <c r="N7" s="354" t="s">
        <v>608</v>
      </c>
      <c r="O7" s="359" t="s">
        <v>609</v>
      </c>
    </row>
    <row r="8" spans="1:17" s="4" customFormat="1" ht="15.75" x14ac:dyDescent="0.2">
      <c r="A8" s="125" t="s">
        <v>2</v>
      </c>
      <c r="B8" s="206" t="s">
        <v>15</v>
      </c>
      <c r="C8" s="306" t="s">
        <v>337</v>
      </c>
      <c r="D8" s="183" t="e">
        <f>D9+D18+D21+D24+#REF!</f>
        <v>#REF!</v>
      </c>
      <c r="E8" s="220">
        <f>E9+E18+E21+E28+E32</f>
        <v>27616.699999999997</v>
      </c>
      <c r="F8" s="220">
        <f t="shared" ref="F8:N8" si="0">F9+F18+F21+F28+F32</f>
        <v>29218.468600000004</v>
      </c>
      <c r="G8" s="220">
        <f t="shared" si="0"/>
        <v>30825.484372999999</v>
      </c>
      <c r="H8" s="220">
        <f t="shared" si="0"/>
        <v>8969.5583333333325</v>
      </c>
      <c r="I8" s="220">
        <f t="shared" si="0"/>
        <v>8969.5583333333325</v>
      </c>
      <c r="J8" s="220">
        <f t="shared" si="0"/>
        <v>8969.5583333333325</v>
      </c>
      <c r="K8" s="220">
        <f t="shared" si="0"/>
        <v>115.425</v>
      </c>
      <c r="L8" s="220">
        <f t="shared" si="0"/>
        <v>29826.036</v>
      </c>
      <c r="M8" s="220">
        <f t="shared" si="0"/>
        <v>31884.032484000007</v>
      </c>
      <c r="N8" s="362">
        <f t="shared" si="0"/>
        <v>37935.950000000004</v>
      </c>
      <c r="O8" s="367">
        <f>N8/E8</f>
        <v>1.3736597783225371</v>
      </c>
    </row>
    <row r="9" spans="1:17" s="6" customFormat="1" ht="34.5" customHeight="1" x14ac:dyDescent="0.2">
      <c r="A9" s="125" t="s">
        <v>6</v>
      </c>
      <c r="B9" s="206" t="s">
        <v>146</v>
      </c>
      <c r="C9" s="207" t="s">
        <v>4</v>
      </c>
      <c r="D9" s="183" t="e">
        <f t="shared" ref="D9" si="1">D10+D15</f>
        <v>#REF!</v>
      </c>
      <c r="E9" s="220">
        <f>E10+E15+E17</f>
        <v>18393.099999999999</v>
      </c>
      <c r="F9" s="220">
        <f t="shared" ref="F9:N9" si="2">F10+F15+F17</f>
        <v>19459.899800000003</v>
      </c>
      <c r="G9" s="220">
        <f t="shared" si="2"/>
        <v>20530.194289000003</v>
      </c>
      <c r="H9" s="220">
        <f t="shared" si="2"/>
        <v>6097.8083333333334</v>
      </c>
      <c r="I9" s="220">
        <f t="shared" si="2"/>
        <v>6097.8083333333334</v>
      </c>
      <c r="J9" s="220">
        <f t="shared" si="2"/>
        <v>6097.8083333333334</v>
      </c>
      <c r="K9" s="220">
        <f t="shared" si="2"/>
        <v>33.674999999999997</v>
      </c>
      <c r="L9" s="220">
        <f t="shared" si="2"/>
        <v>19864.547999999999</v>
      </c>
      <c r="M9" s="220">
        <f t="shared" si="2"/>
        <v>21235.201812000003</v>
      </c>
      <c r="N9" s="362">
        <f t="shared" si="2"/>
        <v>23545.649999999998</v>
      </c>
      <c r="O9" s="367">
        <f t="shared" ref="O9:O50" si="3">N9/E9</f>
        <v>1.2801349419075632</v>
      </c>
    </row>
    <row r="10" spans="1:17" s="6" customFormat="1" ht="36" hidden="1" customHeight="1" x14ac:dyDescent="0.2">
      <c r="A10" s="180" t="s">
        <v>60</v>
      </c>
      <c r="B10" s="147" t="s">
        <v>251</v>
      </c>
      <c r="C10" s="148" t="s">
        <v>140</v>
      </c>
      <c r="D10" s="149" t="e">
        <f>D11+D13+#REF!+#REF!</f>
        <v>#REF!</v>
      </c>
      <c r="E10" s="150">
        <f>E11+E13+E14</f>
        <v>18137.3</v>
      </c>
      <c r="F10" s="150">
        <f t="shared" ref="F10:N10" si="4">F11+F13+F14</f>
        <v>19189.2634</v>
      </c>
      <c r="G10" s="150">
        <f t="shared" si="4"/>
        <v>20244.672887000004</v>
      </c>
      <c r="H10" s="150">
        <f t="shared" si="4"/>
        <v>6034.541666666667</v>
      </c>
      <c r="I10" s="150">
        <f t="shared" si="4"/>
        <v>6034.541666666667</v>
      </c>
      <c r="J10" s="150">
        <f t="shared" si="4"/>
        <v>6034.541666666667</v>
      </c>
      <c r="K10" s="150">
        <f t="shared" si="4"/>
        <v>33.674999999999997</v>
      </c>
      <c r="L10" s="150">
        <f t="shared" si="4"/>
        <v>19588.284</v>
      </c>
      <c r="M10" s="150">
        <f t="shared" si="4"/>
        <v>20939.875596000002</v>
      </c>
      <c r="N10" s="363">
        <f t="shared" si="4"/>
        <v>23155.899999999998</v>
      </c>
      <c r="O10" s="367">
        <f t="shared" si="3"/>
        <v>1.2767005011771322</v>
      </c>
    </row>
    <row r="11" spans="1:17" s="6" customFormat="1" ht="48" hidden="1" customHeight="1" x14ac:dyDescent="0.2">
      <c r="A11" s="180" t="s">
        <v>43</v>
      </c>
      <c r="B11" s="147" t="s">
        <v>198</v>
      </c>
      <c r="C11" s="148" t="s">
        <v>141</v>
      </c>
      <c r="D11" s="149">
        <v>6131.4</v>
      </c>
      <c r="E11" s="150">
        <v>14802.6</v>
      </c>
      <c r="F11" s="154">
        <f>E11*1.058</f>
        <v>15661.150800000001</v>
      </c>
      <c r="G11" s="155">
        <f>F11*1.055</f>
        <v>16522.514094000002</v>
      </c>
      <c r="H11" s="153">
        <f>E11/3</f>
        <v>4934.2</v>
      </c>
      <c r="I11" s="153">
        <f>E11/3</f>
        <v>4934.2</v>
      </c>
      <c r="J11" s="153">
        <f>E11/3</f>
        <v>4934.2</v>
      </c>
      <c r="K11" s="153">
        <v>0</v>
      </c>
      <c r="L11" s="150">
        <f>E11*108%</f>
        <v>15986.808000000001</v>
      </c>
      <c r="M11" s="150">
        <f>L11*106.9%</f>
        <v>17089.897752000001</v>
      </c>
      <c r="N11" s="364">
        <v>19877.2</v>
      </c>
      <c r="O11" s="367">
        <f t="shared" si="3"/>
        <v>1.3428181535676165</v>
      </c>
    </row>
    <row r="12" spans="1:17" s="6" customFormat="1" ht="66.75" hidden="1" customHeight="1" x14ac:dyDescent="0.2">
      <c r="A12" s="180" t="s">
        <v>61</v>
      </c>
      <c r="B12" s="147" t="s">
        <v>296</v>
      </c>
      <c r="C12" s="148" t="s">
        <v>142</v>
      </c>
      <c r="D12" s="149"/>
      <c r="E12" s="150">
        <f>E13</f>
        <v>3200</v>
      </c>
      <c r="F12" s="150">
        <f t="shared" ref="F12:N12" si="5">F13</f>
        <v>3385.6000000000004</v>
      </c>
      <c r="G12" s="150">
        <f t="shared" si="5"/>
        <v>3571.808</v>
      </c>
      <c r="H12" s="150">
        <f t="shared" si="5"/>
        <v>1066.6666666666667</v>
      </c>
      <c r="I12" s="150">
        <f t="shared" si="5"/>
        <v>1066.6666666666667</v>
      </c>
      <c r="J12" s="150">
        <f t="shared" si="5"/>
        <v>1066.6666666666667</v>
      </c>
      <c r="K12" s="150">
        <f t="shared" si="5"/>
        <v>0</v>
      </c>
      <c r="L12" s="150">
        <f t="shared" si="5"/>
        <v>3456</v>
      </c>
      <c r="M12" s="150">
        <f t="shared" si="5"/>
        <v>3694.4639999999999</v>
      </c>
      <c r="N12" s="363">
        <f t="shared" si="5"/>
        <v>3145.1</v>
      </c>
      <c r="O12" s="367">
        <f t="shared" si="3"/>
        <v>0.98284375000000002</v>
      </c>
    </row>
    <row r="13" spans="1:17" s="6" customFormat="1" ht="40.5" hidden="1" customHeight="1" x14ac:dyDescent="0.2">
      <c r="A13" s="180" t="s">
        <v>178</v>
      </c>
      <c r="B13" s="147" t="s">
        <v>201</v>
      </c>
      <c r="C13" s="148" t="s">
        <v>142</v>
      </c>
      <c r="D13" s="149">
        <v>800</v>
      </c>
      <c r="E13" s="150">
        <v>3200</v>
      </c>
      <c r="F13" s="154">
        <f t="shared" ref="F13:F36" si="6">E13*1.058</f>
        <v>3385.6000000000004</v>
      </c>
      <c r="G13" s="155">
        <f t="shared" ref="G13:G36" si="7">F13*1.055</f>
        <v>3571.808</v>
      </c>
      <c r="H13" s="153">
        <f>E13/3</f>
        <v>1066.6666666666667</v>
      </c>
      <c r="I13" s="153">
        <f>E13/3</f>
        <v>1066.6666666666667</v>
      </c>
      <c r="J13" s="153">
        <f>E13/3</f>
        <v>1066.6666666666667</v>
      </c>
      <c r="K13" s="153">
        <v>0</v>
      </c>
      <c r="L13" s="150">
        <f>E13*108%</f>
        <v>3456</v>
      </c>
      <c r="M13" s="150">
        <f>L13*106.9%</f>
        <v>3694.4639999999999</v>
      </c>
      <c r="N13" s="364">
        <v>3145.1</v>
      </c>
      <c r="O13" s="367">
        <f t="shared" si="3"/>
        <v>0.98284375000000002</v>
      </c>
    </row>
    <row r="14" spans="1:17" s="6" customFormat="1" ht="29.25" hidden="1" customHeight="1" x14ac:dyDescent="0.2">
      <c r="A14" s="180" t="s">
        <v>250</v>
      </c>
      <c r="B14" s="147" t="s">
        <v>248</v>
      </c>
      <c r="C14" s="148" t="s">
        <v>249</v>
      </c>
      <c r="D14" s="149"/>
      <c r="E14" s="150">
        <v>134.69999999999999</v>
      </c>
      <c r="F14" s="154">
        <f t="shared" si="6"/>
        <v>142.51259999999999</v>
      </c>
      <c r="G14" s="155">
        <f t="shared" si="7"/>
        <v>150.35079299999998</v>
      </c>
      <c r="H14" s="153">
        <f>E14/4</f>
        <v>33.674999999999997</v>
      </c>
      <c r="I14" s="153">
        <f>E14/4</f>
        <v>33.674999999999997</v>
      </c>
      <c r="J14" s="153">
        <f>E14/4</f>
        <v>33.674999999999997</v>
      </c>
      <c r="K14" s="153">
        <f>E14/4</f>
        <v>33.674999999999997</v>
      </c>
      <c r="L14" s="150">
        <f>E14*108%</f>
        <v>145.476</v>
      </c>
      <c r="M14" s="150">
        <f>L14*106.9%</f>
        <v>155.51384400000001</v>
      </c>
      <c r="N14" s="364">
        <v>133.6</v>
      </c>
      <c r="O14" s="367">
        <f t="shared" si="3"/>
        <v>0.99183370452858211</v>
      </c>
      <c r="P14" s="324"/>
    </row>
    <row r="15" spans="1:17" s="6" customFormat="1" ht="32.25" hidden="1" customHeight="1" x14ac:dyDescent="0.2">
      <c r="A15" s="180" t="s">
        <v>159</v>
      </c>
      <c r="B15" s="147" t="s">
        <v>253</v>
      </c>
      <c r="C15" s="148" t="s">
        <v>502</v>
      </c>
      <c r="D15" s="149">
        <f>D16+D17</f>
        <v>240</v>
      </c>
      <c r="E15" s="150">
        <f>E16</f>
        <v>189.8</v>
      </c>
      <c r="F15" s="150">
        <f t="shared" ref="F15:N15" si="8">F16</f>
        <v>200.80840000000003</v>
      </c>
      <c r="G15" s="150">
        <f t="shared" si="8"/>
        <v>211.85286200000002</v>
      </c>
      <c r="H15" s="150">
        <f t="shared" si="8"/>
        <v>63.266666666666673</v>
      </c>
      <c r="I15" s="150">
        <f t="shared" si="8"/>
        <v>63.266666666666673</v>
      </c>
      <c r="J15" s="150">
        <f t="shared" si="8"/>
        <v>63.266666666666673</v>
      </c>
      <c r="K15" s="150">
        <f t="shared" si="8"/>
        <v>0</v>
      </c>
      <c r="L15" s="150">
        <f t="shared" si="8"/>
        <v>204.98400000000004</v>
      </c>
      <c r="M15" s="150">
        <f t="shared" si="8"/>
        <v>219.12789600000002</v>
      </c>
      <c r="N15" s="363">
        <f t="shared" si="8"/>
        <v>184.2</v>
      </c>
      <c r="O15" s="367">
        <f t="shared" si="3"/>
        <v>0.97049525816649096</v>
      </c>
    </row>
    <row r="16" spans="1:17" s="4" customFormat="1" ht="45" hidden="1" customHeight="1" x14ac:dyDescent="0.2">
      <c r="A16" s="180" t="s">
        <v>177</v>
      </c>
      <c r="B16" s="147" t="s">
        <v>204</v>
      </c>
      <c r="C16" s="148" t="s">
        <v>502</v>
      </c>
      <c r="D16" s="149">
        <v>120</v>
      </c>
      <c r="E16" s="150">
        <v>189.8</v>
      </c>
      <c r="F16" s="154">
        <f t="shared" si="6"/>
        <v>200.80840000000003</v>
      </c>
      <c r="G16" s="155">
        <f t="shared" si="7"/>
        <v>211.85286200000002</v>
      </c>
      <c r="H16" s="153">
        <f>E16/3</f>
        <v>63.266666666666673</v>
      </c>
      <c r="I16" s="153">
        <f>E16/3</f>
        <v>63.266666666666673</v>
      </c>
      <c r="J16" s="153">
        <f>E16/3</f>
        <v>63.266666666666673</v>
      </c>
      <c r="K16" s="153">
        <v>0</v>
      </c>
      <c r="L16" s="150">
        <f>E16*108%</f>
        <v>204.98400000000004</v>
      </c>
      <c r="M16" s="150">
        <f>L16*106.9%</f>
        <v>219.12789600000002</v>
      </c>
      <c r="N16" s="364">
        <v>184.2</v>
      </c>
      <c r="O16" s="367">
        <f t="shared" si="3"/>
        <v>0.97049525816649096</v>
      </c>
    </row>
    <row r="17" spans="1:15" s="6" customFormat="1" ht="72" hidden="1" customHeight="1" x14ac:dyDescent="0.2">
      <c r="A17" s="180" t="s">
        <v>239</v>
      </c>
      <c r="B17" s="147" t="s">
        <v>426</v>
      </c>
      <c r="C17" s="148" t="s">
        <v>427</v>
      </c>
      <c r="D17" s="149">
        <v>120</v>
      </c>
      <c r="E17" s="150">
        <v>66</v>
      </c>
      <c r="F17" s="154">
        <f t="shared" si="6"/>
        <v>69.828000000000003</v>
      </c>
      <c r="G17" s="155">
        <f t="shared" si="7"/>
        <v>73.668539999999993</v>
      </c>
      <c r="H17" s="157"/>
      <c r="I17" s="157"/>
      <c r="J17" s="157"/>
      <c r="K17" s="157"/>
      <c r="L17" s="150">
        <f>E17*108%</f>
        <v>71.28</v>
      </c>
      <c r="M17" s="150">
        <f>L17*106.9%</f>
        <v>76.198319999999995</v>
      </c>
      <c r="N17" s="364">
        <v>205.55</v>
      </c>
      <c r="O17" s="367">
        <f t="shared" si="3"/>
        <v>3.1143939393939397</v>
      </c>
    </row>
    <row r="18" spans="1:15" ht="45.75" customHeight="1" x14ac:dyDescent="0.2">
      <c r="A18" s="125" t="s">
        <v>3</v>
      </c>
      <c r="B18" s="206" t="s">
        <v>147</v>
      </c>
      <c r="C18" s="207" t="s">
        <v>5</v>
      </c>
      <c r="D18" s="183">
        <f>D19</f>
        <v>300</v>
      </c>
      <c r="E18" s="220">
        <f t="shared" ref="E18:N19" si="9">E19</f>
        <v>1636</v>
      </c>
      <c r="F18" s="220">
        <f t="shared" si="9"/>
        <v>1730.8880000000001</v>
      </c>
      <c r="G18" s="220">
        <f t="shared" si="9"/>
        <v>1826.0868399999999</v>
      </c>
      <c r="H18" s="220">
        <f t="shared" si="9"/>
        <v>545.33333333333337</v>
      </c>
      <c r="I18" s="220">
        <f t="shared" si="9"/>
        <v>545.33333333333337</v>
      </c>
      <c r="J18" s="220">
        <f t="shared" si="9"/>
        <v>545.33333333333337</v>
      </c>
      <c r="K18" s="220">
        <f t="shared" si="9"/>
        <v>0</v>
      </c>
      <c r="L18" s="220">
        <f t="shared" si="9"/>
        <v>1766.88</v>
      </c>
      <c r="M18" s="220">
        <f t="shared" si="9"/>
        <v>1888.7947200000001</v>
      </c>
      <c r="N18" s="362">
        <f t="shared" si="9"/>
        <v>1930.9</v>
      </c>
      <c r="O18" s="367">
        <f t="shared" si="3"/>
        <v>1.1802567237163815</v>
      </c>
    </row>
    <row r="19" spans="1:15" s="6" customFormat="1" ht="36.75" hidden="1" customHeight="1" x14ac:dyDescent="0.2">
      <c r="A19" s="180" t="s">
        <v>62</v>
      </c>
      <c r="B19" s="147" t="s">
        <v>252</v>
      </c>
      <c r="C19" s="160" t="s">
        <v>53</v>
      </c>
      <c r="D19" s="149">
        <f>D20</f>
        <v>300</v>
      </c>
      <c r="E19" s="150">
        <f>E20</f>
        <v>1636</v>
      </c>
      <c r="F19" s="150">
        <f t="shared" si="9"/>
        <v>1730.8880000000001</v>
      </c>
      <c r="G19" s="150">
        <f t="shared" si="9"/>
        <v>1826.0868399999999</v>
      </c>
      <c r="H19" s="150">
        <f t="shared" si="9"/>
        <v>545.33333333333337</v>
      </c>
      <c r="I19" s="150">
        <f t="shared" si="9"/>
        <v>545.33333333333337</v>
      </c>
      <c r="J19" s="150">
        <f t="shared" si="9"/>
        <v>545.33333333333337</v>
      </c>
      <c r="K19" s="150">
        <f t="shared" si="9"/>
        <v>0</v>
      </c>
      <c r="L19" s="150">
        <f t="shared" si="9"/>
        <v>1766.88</v>
      </c>
      <c r="M19" s="150">
        <f t="shared" si="9"/>
        <v>1888.7947200000001</v>
      </c>
      <c r="N19" s="363">
        <f t="shared" si="9"/>
        <v>1930.9</v>
      </c>
      <c r="O19" s="367">
        <f t="shared" si="3"/>
        <v>1.1802567237163815</v>
      </c>
    </row>
    <row r="20" spans="1:15" s="6" customFormat="1" ht="87.75" hidden="1" customHeight="1" x14ac:dyDescent="0.2">
      <c r="A20" s="180" t="s">
        <v>63</v>
      </c>
      <c r="B20" s="147" t="s">
        <v>50</v>
      </c>
      <c r="C20" s="148" t="s">
        <v>512</v>
      </c>
      <c r="D20" s="149">
        <v>300</v>
      </c>
      <c r="E20" s="150">
        <v>1636</v>
      </c>
      <c r="F20" s="154">
        <f t="shared" si="6"/>
        <v>1730.8880000000001</v>
      </c>
      <c r="G20" s="155">
        <f t="shared" si="7"/>
        <v>1826.0868399999999</v>
      </c>
      <c r="H20" s="153">
        <f>E20/3</f>
        <v>545.33333333333337</v>
      </c>
      <c r="I20" s="153">
        <f>E20/3</f>
        <v>545.33333333333337</v>
      </c>
      <c r="J20" s="153">
        <f>E20/3</f>
        <v>545.33333333333337</v>
      </c>
      <c r="K20" s="153">
        <v>0</v>
      </c>
      <c r="L20" s="150">
        <f>E20*108%</f>
        <v>1766.88</v>
      </c>
      <c r="M20" s="150">
        <f>L20*106.9%</f>
        <v>1888.7947200000001</v>
      </c>
      <c r="N20" s="364">
        <v>1930.9</v>
      </c>
      <c r="O20" s="367">
        <f t="shared" si="3"/>
        <v>1.1802567237163815</v>
      </c>
    </row>
    <row r="21" spans="1:15" s="6" customFormat="1" ht="62.25" customHeight="1" x14ac:dyDescent="0.2">
      <c r="A21" s="125">
        <v>3</v>
      </c>
      <c r="B21" s="206" t="s">
        <v>16</v>
      </c>
      <c r="C21" s="207" t="s">
        <v>143</v>
      </c>
      <c r="D21" s="183" t="e">
        <f>#REF!+#REF!+#REF!+#REF!+#REF!</f>
        <v>#REF!</v>
      </c>
      <c r="E21" s="220">
        <f>E22+E26</f>
        <v>6746</v>
      </c>
      <c r="F21" s="220">
        <f t="shared" ref="F21:N21" si="10">F22+F26</f>
        <v>7137.268</v>
      </c>
      <c r="G21" s="220">
        <f t="shared" si="10"/>
        <v>7529.8177400000004</v>
      </c>
      <c r="H21" s="220">
        <f t="shared" si="10"/>
        <v>2247.6666666666665</v>
      </c>
      <c r="I21" s="220">
        <f t="shared" si="10"/>
        <v>2247.6666666666665</v>
      </c>
      <c r="J21" s="220">
        <f t="shared" si="10"/>
        <v>2247.6666666666665</v>
      </c>
      <c r="K21" s="220">
        <f t="shared" si="10"/>
        <v>3</v>
      </c>
      <c r="L21" s="220">
        <f t="shared" si="10"/>
        <v>7285.68</v>
      </c>
      <c r="M21" s="220">
        <f t="shared" si="10"/>
        <v>7788.39192</v>
      </c>
      <c r="N21" s="362">
        <f t="shared" si="10"/>
        <v>10501.1</v>
      </c>
      <c r="O21" s="367">
        <f t="shared" si="3"/>
        <v>1.5566409724281056</v>
      </c>
    </row>
    <row r="22" spans="1:15" s="6" customFormat="1" ht="70.5" hidden="1" customHeight="1" x14ac:dyDescent="0.2">
      <c r="A22" s="180" t="s">
        <v>64</v>
      </c>
      <c r="B22" s="165" t="s">
        <v>157</v>
      </c>
      <c r="C22" s="148" t="s">
        <v>205</v>
      </c>
      <c r="D22" s="183"/>
      <c r="E22" s="150">
        <f>E23</f>
        <v>6734</v>
      </c>
      <c r="F22" s="150">
        <f t="shared" ref="F22:N24" si="11">F23</f>
        <v>7124.5720000000001</v>
      </c>
      <c r="G22" s="150">
        <f t="shared" si="11"/>
        <v>7516.42346</v>
      </c>
      <c r="H22" s="150">
        <f t="shared" si="11"/>
        <v>2244.6666666666665</v>
      </c>
      <c r="I22" s="150">
        <f t="shared" si="11"/>
        <v>2244.6666666666665</v>
      </c>
      <c r="J22" s="150">
        <f t="shared" si="11"/>
        <v>2244.6666666666665</v>
      </c>
      <c r="K22" s="150">
        <f t="shared" si="11"/>
        <v>0</v>
      </c>
      <c r="L22" s="150">
        <f t="shared" si="11"/>
        <v>7272.72</v>
      </c>
      <c r="M22" s="150">
        <f t="shared" si="11"/>
        <v>7774.5376800000004</v>
      </c>
      <c r="N22" s="363">
        <f t="shared" si="11"/>
        <v>10485.700000000001</v>
      </c>
      <c r="O22" s="367">
        <f t="shared" si="3"/>
        <v>1.5571280071280071</v>
      </c>
    </row>
    <row r="23" spans="1:15" s="6" customFormat="1" ht="84" hidden="1" customHeight="1" x14ac:dyDescent="0.2">
      <c r="A23" s="180" t="s">
        <v>65</v>
      </c>
      <c r="B23" s="165" t="s">
        <v>158</v>
      </c>
      <c r="C23" s="148" t="s">
        <v>144</v>
      </c>
      <c r="D23" s="149">
        <v>5500</v>
      </c>
      <c r="E23" s="150">
        <f>E24</f>
        <v>6734</v>
      </c>
      <c r="F23" s="150">
        <f t="shared" si="11"/>
        <v>7124.5720000000001</v>
      </c>
      <c r="G23" s="150">
        <f t="shared" si="11"/>
        <v>7516.42346</v>
      </c>
      <c r="H23" s="150">
        <f t="shared" si="11"/>
        <v>2244.6666666666665</v>
      </c>
      <c r="I23" s="150">
        <f t="shared" si="11"/>
        <v>2244.6666666666665</v>
      </c>
      <c r="J23" s="150">
        <f t="shared" si="11"/>
        <v>2244.6666666666665</v>
      </c>
      <c r="K23" s="150">
        <f t="shared" si="11"/>
        <v>0</v>
      </c>
      <c r="L23" s="150">
        <f t="shared" si="11"/>
        <v>7272.72</v>
      </c>
      <c r="M23" s="150">
        <f t="shared" si="11"/>
        <v>7774.5376800000004</v>
      </c>
      <c r="N23" s="363">
        <f t="shared" si="11"/>
        <v>10485.700000000001</v>
      </c>
      <c r="O23" s="367">
        <f t="shared" si="3"/>
        <v>1.5571280071280071</v>
      </c>
    </row>
    <row r="24" spans="1:15" s="6" customFormat="1" ht="64.5" hidden="1" customHeight="1" x14ac:dyDescent="0.2">
      <c r="A24" s="180" t="s">
        <v>138</v>
      </c>
      <c r="B24" s="165" t="s">
        <v>297</v>
      </c>
      <c r="C24" s="148" t="s">
        <v>513</v>
      </c>
      <c r="D24" s="183">
        <f>D25</f>
        <v>3450</v>
      </c>
      <c r="E24" s="150">
        <f>E25</f>
        <v>6734</v>
      </c>
      <c r="F24" s="150">
        <f t="shared" si="11"/>
        <v>7124.5720000000001</v>
      </c>
      <c r="G24" s="150">
        <f t="shared" si="11"/>
        <v>7516.42346</v>
      </c>
      <c r="H24" s="150">
        <f t="shared" si="11"/>
        <v>2244.6666666666665</v>
      </c>
      <c r="I24" s="150">
        <f t="shared" si="11"/>
        <v>2244.6666666666665</v>
      </c>
      <c r="J24" s="150">
        <f t="shared" si="11"/>
        <v>2244.6666666666665</v>
      </c>
      <c r="K24" s="150">
        <f t="shared" si="11"/>
        <v>0</v>
      </c>
      <c r="L24" s="150">
        <f t="shared" si="11"/>
        <v>7272.72</v>
      </c>
      <c r="M24" s="150">
        <f t="shared" si="11"/>
        <v>7774.5376800000004</v>
      </c>
      <c r="N24" s="363">
        <f t="shared" si="11"/>
        <v>10485.700000000001</v>
      </c>
      <c r="O24" s="367">
        <f t="shared" si="3"/>
        <v>1.5571280071280071</v>
      </c>
    </row>
    <row r="25" spans="1:15" s="6" customFormat="1" ht="31.5" hidden="1" customHeight="1" x14ac:dyDescent="0.2">
      <c r="A25" s="180" t="s">
        <v>298</v>
      </c>
      <c r="B25" s="165" t="s">
        <v>241</v>
      </c>
      <c r="C25" s="148" t="s">
        <v>57</v>
      </c>
      <c r="D25" s="149">
        <f>D26</f>
        <v>3450</v>
      </c>
      <c r="E25" s="150">
        <v>6734</v>
      </c>
      <c r="F25" s="154">
        <f t="shared" si="6"/>
        <v>7124.5720000000001</v>
      </c>
      <c r="G25" s="155">
        <f t="shared" si="7"/>
        <v>7516.42346</v>
      </c>
      <c r="H25" s="153">
        <f>E25/3</f>
        <v>2244.6666666666665</v>
      </c>
      <c r="I25" s="153">
        <f>E25/3</f>
        <v>2244.6666666666665</v>
      </c>
      <c r="J25" s="153">
        <f>E25/3</f>
        <v>2244.6666666666665</v>
      </c>
      <c r="K25" s="153">
        <v>0</v>
      </c>
      <c r="L25" s="150">
        <f>E25*108%</f>
        <v>7272.72</v>
      </c>
      <c r="M25" s="150">
        <f>L25*106.9%</f>
        <v>7774.5376800000004</v>
      </c>
      <c r="N25" s="364">
        <v>10485.700000000001</v>
      </c>
      <c r="O25" s="367">
        <f t="shared" si="3"/>
        <v>1.5571280071280071</v>
      </c>
    </row>
    <row r="26" spans="1:15" s="6" customFormat="1" ht="42.75" hidden="1" customHeight="1" x14ac:dyDescent="0.2">
      <c r="A26" s="180" t="s">
        <v>299</v>
      </c>
      <c r="B26" s="165" t="s">
        <v>300</v>
      </c>
      <c r="C26" s="148" t="s">
        <v>338</v>
      </c>
      <c r="D26" s="149">
        <f>D27</f>
        <v>3450</v>
      </c>
      <c r="E26" s="150">
        <f t="shared" ref="E26:N26" si="12">E27</f>
        <v>12</v>
      </c>
      <c r="F26" s="150">
        <f t="shared" si="12"/>
        <v>12.696000000000002</v>
      </c>
      <c r="G26" s="150">
        <f t="shared" si="12"/>
        <v>13.39428</v>
      </c>
      <c r="H26" s="150">
        <f t="shared" si="12"/>
        <v>3</v>
      </c>
      <c r="I26" s="150">
        <f t="shared" si="12"/>
        <v>3</v>
      </c>
      <c r="J26" s="150">
        <f t="shared" si="12"/>
        <v>3</v>
      </c>
      <c r="K26" s="150">
        <f t="shared" si="12"/>
        <v>3</v>
      </c>
      <c r="L26" s="150">
        <f t="shared" si="12"/>
        <v>12.96</v>
      </c>
      <c r="M26" s="150">
        <f t="shared" si="12"/>
        <v>13.854240000000001</v>
      </c>
      <c r="N26" s="363">
        <f t="shared" si="12"/>
        <v>15.4</v>
      </c>
      <c r="O26" s="367">
        <f t="shared" si="3"/>
        <v>1.2833333333333334</v>
      </c>
    </row>
    <row r="27" spans="1:15" s="6" customFormat="1" ht="28.5" hidden="1" customHeight="1" x14ac:dyDescent="0.2">
      <c r="A27" s="180" t="s">
        <v>301</v>
      </c>
      <c r="B27" s="165" t="s">
        <v>302</v>
      </c>
      <c r="C27" s="148" t="s">
        <v>433</v>
      </c>
      <c r="D27" s="149">
        <v>3450</v>
      </c>
      <c r="E27" s="150">
        <v>12</v>
      </c>
      <c r="F27" s="154">
        <f t="shared" si="6"/>
        <v>12.696000000000002</v>
      </c>
      <c r="G27" s="155">
        <f t="shared" si="7"/>
        <v>13.39428</v>
      </c>
      <c r="H27" s="153">
        <f>E27/4</f>
        <v>3</v>
      </c>
      <c r="I27" s="153">
        <f>E27/4</f>
        <v>3</v>
      </c>
      <c r="J27" s="153">
        <f>E27/4</f>
        <v>3</v>
      </c>
      <c r="K27" s="153">
        <f>E27/4</f>
        <v>3</v>
      </c>
      <c r="L27" s="150">
        <f>E27*108%</f>
        <v>12.96</v>
      </c>
      <c r="M27" s="150">
        <f>L27*106.9%</f>
        <v>13.854240000000001</v>
      </c>
      <c r="N27" s="364">
        <v>15.4</v>
      </c>
      <c r="O27" s="367">
        <f t="shared" si="3"/>
        <v>1.2833333333333334</v>
      </c>
    </row>
    <row r="28" spans="1:15" s="5" customFormat="1" ht="56.25" customHeight="1" x14ac:dyDescent="0.2">
      <c r="A28" s="125" t="s">
        <v>303</v>
      </c>
      <c r="B28" s="206" t="s">
        <v>55</v>
      </c>
      <c r="C28" s="307" t="s">
        <v>415</v>
      </c>
      <c r="D28" s="149">
        <v>15</v>
      </c>
      <c r="E28" s="220">
        <f>E29</f>
        <v>526.6</v>
      </c>
      <c r="F28" s="220">
        <f t="shared" ref="F28:N28" si="13">F29</f>
        <v>557.14280000000008</v>
      </c>
      <c r="G28" s="220">
        <f t="shared" si="13"/>
        <v>587.78565400000002</v>
      </c>
      <c r="H28" s="220">
        <f t="shared" si="13"/>
        <v>0</v>
      </c>
      <c r="I28" s="220">
        <f t="shared" si="13"/>
        <v>0</v>
      </c>
      <c r="J28" s="220">
        <f t="shared" si="13"/>
        <v>0</v>
      </c>
      <c r="K28" s="220">
        <f t="shared" si="13"/>
        <v>0</v>
      </c>
      <c r="L28" s="220">
        <f t="shared" si="13"/>
        <v>568.72800000000007</v>
      </c>
      <c r="M28" s="220">
        <f t="shared" si="13"/>
        <v>607.97023200000001</v>
      </c>
      <c r="N28" s="362">
        <f t="shared" si="13"/>
        <v>1383.4</v>
      </c>
      <c r="O28" s="367">
        <f t="shared" si="3"/>
        <v>2.6270413976452716</v>
      </c>
    </row>
    <row r="29" spans="1:15" s="5" customFormat="1" ht="45" hidden="1" customHeight="1" x14ac:dyDescent="0.2">
      <c r="A29" s="180" t="s">
        <v>66</v>
      </c>
      <c r="B29" s="165" t="s">
        <v>416</v>
      </c>
      <c r="C29" s="181" t="s">
        <v>417</v>
      </c>
      <c r="D29" s="149" t="e">
        <f>D30+#REF!</f>
        <v>#REF!</v>
      </c>
      <c r="E29" s="150">
        <f t="shared" ref="E29:N30" si="14">E30</f>
        <v>526.6</v>
      </c>
      <c r="F29" s="150">
        <f t="shared" si="14"/>
        <v>557.14280000000008</v>
      </c>
      <c r="G29" s="150">
        <f t="shared" si="14"/>
        <v>587.78565400000002</v>
      </c>
      <c r="H29" s="150">
        <f t="shared" si="14"/>
        <v>0</v>
      </c>
      <c r="I29" s="150">
        <f t="shared" si="14"/>
        <v>0</v>
      </c>
      <c r="J29" s="150">
        <f t="shared" si="14"/>
        <v>0</v>
      </c>
      <c r="K29" s="150">
        <f t="shared" si="14"/>
        <v>0</v>
      </c>
      <c r="L29" s="150">
        <f t="shared" si="14"/>
        <v>568.72800000000007</v>
      </c>
      <c r="M29" s="150">
        <f t="shared" si="14"/>
        <v>607.97023200000001</v>
      </c>
      <c r="N29" s="363">
        <f t="shared" si="14"/>
        <v>1383.4</v>
      </c>
      <c r="O29" s="367">
        <f t="shared" si="3"/>
        <v>2.6270413976452716</v>
      </c>
    </row>
    <row r="30" spans="1:15" s="4" customFormat="1" ht="72" hidden="1" customHeight="1" x14ac:dyDescent="0.2">
      <c r="A30" s="180" t="s">
        <v>67</v>
      </c>
      <c r="B30" s="165" t="s">
        <v>418</v>
      </c>
      <c r="C30" s="182" t="s">
        <v>514</v>
      </c>
      <c r="D30" s="183">
        <f>D31+D40+D37</f>
        <v>11683.4</v>
      </c>
      <c r="E30" s="150">
        <f t="shared" si="14"/>
        <v>526.6</v>
      </c>
      <c r="F30" s="150">
        <f t="shared" si="14"/>
        <v>557.14280000000008</v>
      </c>
      <c r="G30" s="150">
        <f t="shared" si="14"/>
        <v>587.78565400000002</v>
      </c>
      <c r="H30" s="150">
        <f t="shared" si="14"/>
        <v>0</v>
      </c>
      <c r="I30" s="150">
        <f t="shared" si="14"/>
        <v>0</v>
      </c>
      <c r="J30" s="150">
        <f t="shared" si="14"/>
        <v>0</v>
      </c>
      <c r="K30" s="150">
        <f t="shared" si="14"/>
        <v>0</v>
      </c>
      <c r="L30" s="150">
        <f t="shared" si="14"/>
        <v>568.72800000000007</v>
      </c>
      <c r="M30" s="150">
        <f t="shared" si="14"/>
        <v>607.97023200000001</v>
      </c>
      <c r="N30" s="363">
        <f t="shared" si="14"/>
        <v>1383.4</v>
      </c>
      <c r="O30" s="367">
        <f t="shared" si="3"/>
        <v>2.6270413976452716</v>
      </c>
    </row>
    <row r="31" spans="1:15" s="5" customFormat="1" ht="101.25" hidden="1" customHeight="1" x14ac:dyDescent="0.2">
      <c r="A31" s="180" t="s">
        <v>68</v>
      </c>
      <c r="B31" s="165" t="s">
        <v>611</v>
      </c>
      <c r="C31" s="182" t="s">
        <v>148</v>
      </c>
      <c r="D31" s="183">
        <f>D36</f>
        <v>5841.7</v>
      </c>
      <c r="E31" s="150">
        <v>526.6</v>
      </c>
      <c r="F31" s="150">
        <f>E31*1.058</f>
        <v>557.14280000000008</v>
      </c>
      <c r="G31" s="150">
        <f>F31*1.055</f>
        <v>587.78565400000002</v>
      </c>
      <c r="H31" s="184"/>
      <c r="I31" s="184"/>
      <c r="J31" s="184"/>
      <c r="K31" s="184"/>
      <c r="L31" s="150">
        <f>E31*108%</f>
        <v>568.72800000000007</v>
      </c>
      <c r="M31" s="150">
        <f>L31*106.9%</f>
        <v>607.97023200000001</v>
      </c>
      <c r="N31" s="364">
        <v>1383.4</v>
      </c>
      <c r="O31" s="367">
        <f t="shared" si="3"/>
        <v>2.6270413976452716</v>
      </c>
    </row>
    <row r="32" spans="1:15" s="5" customFormat="1" ht="30" customHeight="1" x14ac:dyDescent="0.2">
      <c r="A32" s="125" t="s">
        <v>503</v>
      </c>
      <c r="B32" s="206" t="s">
        <v>18</v>
      </c>
      <c r="C32" s="207" t="s">
        <v>17</v>
      </c>
      <c r="D32" s="149">
        <v>15</v>
      </c>
      <c r="E32" s="220">
        <f t="shared" ref="E32:N33" si="15">E33</f>
        <v>315</v>
      </c>
      <c r="F32" s="220">
        <f t="shared" si="15"/>
        <v>333.27000000000004</v>
      </c>
      <c r="G32" s="220">
        <f t="shared" si="15"/>
        <v>351.59985</v>
      </c>
      <c r="H32" s="220">
        <f t="shared" si="15"/>
        <v>78.75</v>
      </c>
      <c r="I32" s="220">
        <f t="shared" si="15"/>
        <v>78.75</v>
      </c>
      <c r="J32" s="220">
        <f t="shared" si="15"/>
        <v>78.75</v>
      </c>
      <c r="K32" s="220">
        <f t="shared" si="15"/>
        <v>78.75</v>
      </c>
      <c r="L32" s="220">
        <f t="shared" si="15"/>
        <v>340.20000000000005</v>
      </c>
      <c r="M32" s="220">
        <f t="shared" si="15"/>
        <v>363.67380000000003</v>
      </c>
      <c r="N32" s="362">
        <f t="shared" si="15"/>
        <v>574.9</v>
      </c>
      <c r="O32" s="367">
        <f t="shared" si="3"/>
        <v>1.8250793650793651</v>
      </c>
    </row>
    <row r="33" spans="1:15" s="5" customFormat="1" ht="55.5" hidden="1" customHeight="1" x14ac:dyDescent="0.2">
      <c r="A33" s="180" t="s">
        <v>69</v>
      </c>
      <c r="B33" s="165" t="s">
        <v>47</v>
      </c>
      <c r="C33" s="188" t="s">
        <v>52</v>
      </c>
      <c r="D33" s="183" t="e">
        <f>D34+#REF!</f>
        <v>#REF!</v>
      </c>
      <c r="E33" s="150">
        <f t="shared" si="15"/>
        <v>315</v>
      </c>
      <c r="F33" s="150">
        <f t="shared" si="15"/>
        <v>333.27000000000004</v>
      </c>
      <c r="G33" s="150">
        <f t="shared" si="15"/>
        <v>351.59985</v>
      </c>
      <c r="H33" s="150">
        <f t="shared" si="15"/>
        <v>78.75</v>
      </c>
      <c r="I33" s="150">
        <f t="shared" si="15"/>
        <v>78.75</v>
      </c>
      <c r="J33" s="150">
        <f t="shared" si="15"/>
        <v>78.75</v>
      </c>
      <c r="K33" s="150">
        <f t="shared" si="15"/>
        <v>78.75</v>
      </c>
      <c r="L33" s="150">
        <f t="shared" si="15"/>
        <v>340.20000000000005</v>
      </c>
      <c r="M33" s="150">
        <f t="shared" si="15"/>
        <v>363.67380000000003</v>
      </c>
      <c r="N33" s="363">
        <f t="shared" si="15"/>
        <v>574.9</v>
      </c>
      <c r="O33" s="367">
        <f t="shared" si="3"/>
        <v>1.8250793650793651</v>
      </c>
    </row>
    <row r="34" spans="1:15" s="4" customFormat="1" ht="57.75" hidden="1" customHeight="1" x14ac:dyDescent="0.2">
      <c r="A34" s="180" t="s">
        <v>76</v>
      </c>
      <c r="B34" s="165" t="s">
        <v>51</v>
      </c>
      <c r="C34" s="188" t="s">
        <v>428</v>
      </c>
      <c r="D34" s="183" t="e">
        <f>D35+D41+D38</f>
        <v>#REF!</v>
      </c>
      <c r="E34" s="150">
        <f>E35+E36</f>
        <v>315</v>
      </c>
      <c r="F34" s="150">
        <f t="shared" ref="F34:N34" si="16">F35+F36</f>
        <v>333.27000000000004</v>
      </c>
      <c r="G34" s="150">
        <f t="shared" si="16"/>
        <v>351.59985</v>
      </c>
      <c r="H34" s="150">
        <f t="shared" si="16"/>
        <v>78.75</v>
      </c>
      <c r="I34" s="150">
        <f t="shared" si="16"/>
        <v>78.75</v>
      </c>
      <c r="J34" s="150">
        <f t="shared" si="16"/>
        <v>78.75</v>
      </c>
      <c r="K34" s="150">
        <f t="shared" si="16"/>
        <v>78.75</v>
      </c>
      <c r="L34" s="150">
        <f t="shared" si="16"/>
        <v>340.20000000000005</v>
      </c>
      <c r="M34" s="150">
        <f t="shared" si="16"/>
        <v>363.67380000000003</v>
      </c>
      <c r="N34" s="363">
        <f t="shared" si="16"/>
        <v>574.9</v>
      </c>
      <c r="O34" s="367">
        <f t="shared" si="3"/>
        <v>1.8250793650793651</v>
      </c>
    </row>
    <row r="35" spans="1:15" s="6" customFormat="1" ht="55.5" hidden="1" customHeight="1" x14ac:dyDescent="0.2">
      <c r="A35" s="180" t="s">
        <v>149</v>
      </c>
      <c r="B35" s="147" t="s">
        <v>160</v>
      </c>
      <c r="C35" s="188" t="s">
        <v>206</v>
      </c>
      <c r="D35" s="183">
        <f>D37</f>
        <v>5841.7</v>
      </c>
      <c r="E35" s="150">
        <v>315</v>
      </c>
      <c r="F35" s="154">
        <f t="shared" si="6"/>
        <v>333.27000000000004</v>
      </c>
      <c r="G35" s="155">
        <f t="shared" si="7"/>
        <v>351.59985</v>
      </c>
      <c r="H35" s="153">
        <f>E35/4</f>
        <v>78.75</v>
      </c>
      <c r="I35" s="153">
        <f>E35/4</f>
        <v>78.75</v>
      </c>
      <c r="J35" s="153">
        <f>E35/4</f>
        <v>78.75</v>
      </c>
      <c r="K35" s="153">
        <f>E35/4</f>
        <v>78.75</v>
      </c>
      <c r="L35" s="150">
        <f>E35*108%</f>
        <v>340.20000000000005</v>
      </c>
      <c r="M35" s="150">
        <f>L35*106.9%</f>
        <v>363.67380000000003</v>
      </c>
      <c r="N35" s="364">
        <v>364</v>
      </c>
      <c r="O35" s="367">
        <f t="shared" si="3"/>
        <v>1.1555555555555554</v>
      </c>
    </row>
    <row r="36" spans="1:15" s="6" customFormat="1" ht="78.75" hidden="1" customHeight="1" x14ac:dyDescent="0.2">
      <c r="A36" s="180" t="s">
        <v>432</v>
      </c>
      <c r="B36" s="147" t="s">
        <v>604</v>
      </c>
      <c r="C36" s="148" t="s">
        <v>605</v>
      </c>
      <c r="D36" s="183">
        <f>D37</f>
        <v>5841.7</v>
      </c>
      <c r="E36" s="150">
        <v>0</v>
      </c>
      <c r="F36" s="154">
        <f t="shared" si="6"/>
        <v>0</v>
      </c>
      <c r="G36" s="155">
        <f t="shared" si="7"/>
        <v>0</v>
      </c>
      <c r="H36" s="149">
        <v>0</v>
      </c>
      <c r="I36" s="149">
        <v>0</v>
      </c>
      <c r="J36" s="149">
        <v>0</v>
      </c>
      <c r="K36" s="149">
        <v>0</v>
      </c>
      <c r="L36" s="150">
        <v>0</v>
      </c>
      <c r="M36" s="150">
        <v>0</v>
      </c>
      <c r="N36" s="364">
        <v>210.9</v>
      </c>
      <c r="O36" s="367"/>
    </row>
    <row r="37" spans="1:15" s="6" customFormat="1" ht="42.75" customHeight="1" x14ac:dyDescent="0.2">
      <c r="A37" s="125" t="s">
        <v>45</v>
      </c>
      <c r="B37" s="206" t="s">
        <v>19</v>
      </c>
      <c r="C37" s="306" t="s">
        <v>161</v>
      </c>
      <c r="D37" s="149">
        <v>5841.7</v>
      </c>
      <c r="E37" s="220">
        <f t="shared" ref="E37:N37" si="17">E38</f>
        <v>65850.599999999991</v>
      </c>
      <c r="F37" s="220">
        <f t="shared" si="17"/>
        <v>59953.1</v>
      </c>
      <c r="G37" s="220">
        <f t="shared" si="17"/>
        <v>60016.6</v>
      </c>
      <c r="H37" s="220">
        <f t="shared" si="17"/>
        <v>17061</v>
      </c>
      <c r="I37" s="220">
        <f t="shared" si="17"/>
        <v>17061</v>
      </c>
      <c r="J37" s="220">
        <f t="shared" si="17"/>
        <v>17061</v>
      </c>
      <c r="K37" s="220">
        <f t="shared" si="17"/>
        <v>17061</v>
      </c>
      <c r="L37" s="220">
        <f t="shared" si="17"/>
        <v>71054.824000000008</v>
      </c>
      <c r="M37" s="220">
        <f t="shared" si="17"/>
        <v>75902.558655999994</v>
      </c>
      <c r="N37" s="362">
        <f t="shared" si="17"/>
        <v>65846.8</v>
      </c>
      <c r="O37" s="367">
        <f t="shared" si="3"/>
        <v>0.9999422936161555</v>
      </c>
    </row>
    <row r="38" spans="1:15" s="5" customFormat="1" ht="48.75" customHeight="1" x14ac:dyDescent="0.2">
      <c r="A38" s="125">
        <v>1</v>
      </c>
      <c r="B38" s="206" t="s">
        <v>150</v>
      </c>
      <c r="C38" s="207" t="s">
        <v>339</v>
      </c>
      <c r="D38" s="183">
        <v>0</v>
      </c>
      <c r="E38" s="220">
        <f>E39+E42</f>
        <v>65850.599999999991</v>
      </c>
      <c r="F38" s="220">
        <f t="shared" ref="F38:N38" si="18">F39+F42</f>
        <v>59953.1</v>
      </c>
      <c r="G38" s="220">
        <f t="shared" si="18"/>
        <v>60016.6</v>
      </c>
      <c r="H38" s="220">
        <f t="shared" si="18"/>
        <v>17061</v>
      </c>
      <c r="I38" s="220">
        <f t="shared" si="18"/>
        <v>17061</v>
      </c>
      <c r="J38" s="220">
        <f t="shared" si="18"/>
        <v>17061</v>
      </c>
      <c r="K38" s="220">
        <f t="shared" si="18"/>
        <v>17061</v>
      </c>
      <c r="L38" s="220">
        <f t="shared" si="18"/>
        <v>71054.824000000008</v>
      </c>
      <c r="M38" s="220">
        <f t="shared" si="18"/>
        <v>75902.558655999994</v>
      </c>
      <c r="N38" s="362">
        <f t="shared" si="18"/>
        <v>65846.8</v>
      </c>
      <c r="O38" s="367">
        <f t="shared" si="3"/>
        <v>0.9999422936161555</v>
      </c>
    </row>
    <row r="39" spans="1:15" s="5" customFormat="1" ht="63" customHeight="1" x14ac:dyDescent="0.2">
      <c r="A39" s="371" t="s">
        <v>60</v>
      </c>
      <c r="B39" s="206" t="s">
        <v>56</v>
      </c>
      <c r="C39" s="207" t="s">
        <v>151</v>
      </c>
      <c r="D39" s="183">
        <f>D40</f>
        <v>0</v>
      </c>
      <c r="E39" s="220">
        <f t="shared" ref="E39:N39" si="19">E41</f>
        <v>64592.2</v>
      </c>
      <c r="F39" s="220">
        <f t="shared" si="19"/>
        <v>58000</v>
      </c>
      <c r="G39" s="220">
        <f t="shared" si="19"/>
        <v>58000</v>
      </c>
      <c r="H39" s="220">
        <f t="shared" si="19"/>
        <v>16148.05</v>
      </c>
      <c r="I39" s="220">
        <f t="shared" si="19"/>
        <v>16148.05</v>
      </c>
      <c r="J39" s="220">
        <f t="shared" si="19"/>
        <v>16148.05</v>
      </c>
      <c r="K39" s="220">
        <f t="shared" si="19"/>
        <v>16148.05</v>
      </c>
      <c r="L39" s="220">
        <f t="shared" si="19"/>
        <v>69759.576000000001</v>
      </c>
      <c r="M39" s="220">
        <f t="shared" si="19"/>
        <v>74572.986743999994</v>
      </c>
      <c r="N39" s="362">
        <f t="shared" si="19"/>
        <v>64592.2</v>
      </c>
      <c r="O39" s="367">
        <f t="shared" si="3"/>
        <v>1</v>
      </c>
    </row>
    <row r="40" spans="1:15" s="5" customFormat="1" ht="57" hidden="1" customHeight="1" x14ac:dyDescent="0.2">
      <c r="A40" s="180" t="s">
        <v>43</v>
      </c>
      <c r="B40" s="147" t="s">
        <v>59</v>
      </c>
      <c r="C40" s="148" t="s">
        <v>152</v>
      </c>
      <c r="D40" s="149">
        <v>0</v>
      </c>
      <c r="E40" s="150">
        <f t="shared" ref="E40:N40" si="20">E41</f>
        <v>64592.2</v>
      </c>
      <c r="F40" s="150">
        <f t="shared" si="20"/>
        <v>58000</v>
      </c>
      <c r="G40" s="150">
        <f t="shared" si="20"/>
        <v>58000</v>
      </c>
      <c r="H40" s="150">
        <f t="shared" si="20"/>
        <v>16148.05</v>
      </c>
      <c r="I40" s="150">
        <f t="shared" si="20"/>
        <v>16148.05</v>
      </c>
      <c r="J40" s="150">
        <f t="shared" si="20"/>
        <v>16148.05</v>
      </c>
      <c r="K40" s="150">
        <f t="shared" si="20"/>
        <v>16148.05</v>
      </c>
      <c r="L40" s="150">
        <f t="shared" si="20"/>
        <v>69759.576000000001</v>
      </c>
      <c r="M40" s="150">
        <f t="shared" si="20"/>
        <v>74572.986743999994</v>
      </c>
      <c r="N40" s="363">
        <f t="shared" si="20"/>
        <v>64592.2</v>
      </c>
      <c r="O40" s="367">
        <f t="shared" si="3"/>
        <v>1</v>
      </c>
    </row>
    <row r="41" spans="1:15" s="5" customFormat="1" ht="60.75" hidden="1" customHeight="1" x14ac:dyDescent="0.2">
      <c r="A41" s="180" t="s">
        <v>42</v>
      </c>
      <c r="B41" s="147" t="s">
        <v>58</v>
      </c>
      <c r="C41" s="148" t="s">
        <v>515</v>
      </c>
      <c r="D41" s="149" t="e">
        <f>#REF!+D43</f>
        <v>#REF!</v>
      </c>
      <c r="E41" s="150">
        <v>64592.2</v>
      </c>
      <c r="F41" s="203">
        <v>58000</v>
      </c>
      <c r="G41" s="204">
        <v>58000</v>
      </c>
      <c r="H41" s="153">
        <f>E41/4</f>
        <v>16148.05</v>
      </c>
      <c r="I41" s="153">
        <f>E41/4</f>
        <v>16148.05</v>
      </c>
      <c r="J41" s="153">
        <f>E41/4</f>
        <v>16148.05</v>
      </c>
      <c r="K41" s="153">
        <f>E41/4</f>
        <v>16148.05</v>
      </c>
      <c r="L41" s="150">
        <f>E41*108%</f>
        <v>69759.576000000001</v>
      </c>
      <c r="M41" s="150">
        <f>L41*106.9%</f>
        <v>74572.986743999994</v>
      </c>
      <c r="N41" s="364">
        <v>64592.2</v>
      </c>
      <c r="O41" s="367">
        <f t="shared" si="3"/>
        <v>1</v>
      </c>
    </row>
    <row r="42" spans="1:15" ht="43.5" customHeight="1" x14ac:dyDescent="0.2">
      <c r="A42" s="125">
        <v>2</v>
      </c>
      <c r="B42" s="206" t="s">
        <v>82</v>
      </c>
      <c r="C42" s="207" t="s">
        <v>341</v>
      </c>
      <c r="D42" s="149">
        <v>12.7</v>
      </c>
      <c r="E42" s="220">
        <f>E43+E47</f>
        <v>1258.4000000000001</v>
      </c>
      <c r="F42" s="220">
        <f t="shared" ref="F42:N42" si="21">F43+F47</f>
        <v>1953.1</v>
      </c>
      <c r="G42" s="220">
        <f t="shared" si="21"/>
        <v>2016.6</v>
      </c>
      <c r="H42" s="220">
        <f t="shared" si="21"/>
        <v>912.94999999999993</v>
      </c>
      <c r="I42" s="220">
        <f t="shared" si="21"/>
        <v>912.94999999999993</v>
      </c>
      <c r="J42" s="220">
        <f t="shared" si="21"/>
        <v>912.94999999999993</v>
      </c>
      <c r="K42" s="220">
        <f t="shared" si="21"/>
        <v>912.94999999999993</v>
      </c>
      <c r="L42" s="220">
        <f t="shared" si="21"/>
        <v>1295.248</v>
      </c>
      <c r="M42" s="220">
        <f t="shared" si="21"/>
        <v>1329.5719119999999</v>
      </c>
      <c r="N42" s="362">
        <f t="shared" si="21"/>
        <v>1254.5999999999999</v>
      </c>
      <c r="O42" s="367">
        <f t="shared" si="3"/>
        <v>0.99698029243483777</v>
      </c>
    </row>
    <row r="43" spans="1:15" ht="65.099999999999994" hidden="1" customHeight="1" x14ac:dyDescent="0.2">
      <c r="A43" s="180" t="s">
        <v>62</v>
      </c>
      <c r="B43" s="165" t="s">
        <v>84</v>
      </c>
      <c r="C43" s="148" t="s">
        <v>83</v>
      </c>
      <c r="D43" s="183">
        <f>D45</f>
        <v>228.1</v>
      </c>
      <c r="E43" s="150">
        <f>E45+E46</f>
        <v>797.8</v>
      </c>
      <c r="F43" s="150">
        <f t="shared" ref="F43:N43" si="22">F45+F46</f>
        <v>797.8</v>
      </c>
      <c r="G43" s="150">
        <f t="shared" si="22"/>
        <v>797.8</v>
      </c>
      <c r="H43" s="150">
        <f t="shared" si="22"/>
        <v>797.8</v>
      </c>
      <c r="I43" s="150">
        <f t="shared" si="22"/>
        <v>797.8</v>
      </c>
      <c r="J43" s="150">
        <f t="shared" si="22"/>
        <v>797.8</v>
      </c>
      <c r="K43" s="150">
        <f t="shared" si="22"/>
        <v>797.8</v>
      </c>
      <c r="L43" s="150">
        <f t="shared" si="22"/>
        <v>797.8</v>
      </c>
      <c r="M43" s="150">
        <f t="shared" si="22"/>
        <v>797.8</v>
      </c>
      <c r="N43" s="363">
        <f t="shared" si="22"/>
        <v>794</v>
      </c>
      <c r="O43" s="367">
        <f t="shared" si="3"/>
        <v>0.99523690147906752</v>
      </c>
    </row>
    <row r="44" spans="1:15" ht="68.25" hidden="1" customHeight="1" x14ac:dyDescent="0.2">
      <c r="A44" s="180" t="s">
        <v>63</v>
      </c>
      <c r="B44" s="165" t="s">
        <v>85</v>
      </c>
      <c r="C44" s="148" t="s">
        <v>516</v>
      </c>
      <c r="D44" s="149">
        <v>228.1</v>
      </c>
      <c r="E44" s="150">
        <f>E45+E46</f>
        <v>797.8</v>
      </c>
      <c r="F44" s="150">
        <f t="shared" ref="F44:N44" si="23">F45+F46</f>
        <v>797.8</v>
      </c>
      <c r="G44" s="150">
        <f t="shared" si="23"/>
        <v>797.8</v>
      </c>
      <c r="H44" s="150">
        <f t="shared" si="23"/>
        <v>797.8</v>
      </c>
      <c r="I44" s="150">
        <f t="shared" si="23"/>
        <v>797.8</v>
      </c>
      <c r="J44" s="150">
        <f t="shared" si="23"/>
        <v>797.8</v>
      </c>
      <c r="K44" s="150">
        <f t="shared" si="23"/>
        <v>797.8</v>
      </c>
      <c r="L44" s="150">
        <f t="shared" si="23"/>
        <v>797.8</v>
      </c>
      <c r="M44" s="150">
        <f t="shared" si="23"/>
        <v>797.8</v>
      </c>
      <c r="N44" s="363">
        <f t="shared" si="23"/>
        <v>794</v>
      </c>
      <c r="O44" s="367">
        <f t="shared" si="3"/>
        <v>0.99523690147906752</v>
      </c>
    </row>
    <row r="45" spans="1:15" ht="93" hidden="1" customHeight="1" x14ac:dyDescent="0.2">
      <c r="A45" s="180" t="s">
        <v>167</v>
      </c>
      <c r="B45" s="147" t="s">
        <v>130</v>
      </c>
      <c r="C45" s="215" t="s">
        <v>305</v>
      </c>
      <c r="D45" s="149">
        <v>228.1</v>
      </c>
      <c r="E45" s="150">
        <v>791.8</v>
      </c>
      <c r="F45" s="150">
        <v>791.8</v>
      </c>
      <c r="G45" s="150">
        <v>791.8</v>
      </c>
      <c r="H45" s="150">
        <v>791.8</v>
      </c>
      <c r="I45" s="150">
        <v>791.8</v>
      </c>
      <c r="J45" s="150">
        <v>791.8</v>
      </c>
      <c r="K45" s="150">
        <v>791.8</v>
      </c>
      <c r="L45" s="150">
        <v>791.8</v>
      </c>
      <c r="M45" s="150">
        <v>791.8</v>
      </c>
      <c r="N45" s="363">
        <v>788</v>
      </c>
      <c r="O45" s="367">
        <f t="shared" si="3"/>
        <v>0.99520080828492052</v>
      </c>
    </row>
    <row r="46" spans="1:15" ht="117.75" hidden="1" customHeight="1" x14ac:dyDescent="0.2">
      <c r="A46" s="180" t="s">
        <v>504</v>
      </c>
      <c r="B46" s="147" t="s">
        <v>126</v>
      </c>
      <c r="C46" s="215" t="s">
        <v>307</v>
      </c>
      <c r="D46" s="149">
        <v>228.1</v>
      </c>
      <c r="E46" s="150">
        <v>6</v>
      </c>
      <c r="F46" s="150">
        <v>6</v>
      </c>
      <c r="G46" s="150">
        <v>6</v>
      </c>
      <c r="H46" s="150">
        <v>6</v>
      </c>
      <c r="I46" s="150">
        <v>6</v>
      </c>
      <c r="J46" s="150">
        <v>6</v>
      </c>
      <c r="K46" s="150">
        <v>6</v>
      </c>
      <c r="L46" s="150">
        <v>6</v>
      </c>
      <c r="M46" s="150">
        <v>6</v>
      </c>
      <c r="N46" s="363">
        <v>6</v>
      </c>
      <c r="O46" s="367">
        <f t="shared" si="3"/>
        <v>1</v>
      </c>
    </row>
    <row r="47" spans="1:15" ht="80.25" hidden="1" customHeight="1" x14ac:dyDescent="0.2">
      <c r="A47" s="180" t="s">
        <v>505</v>
      </c>
      <c r="B47" s="147" t="s">
        <v>81</v>
      </c>
      <c r="C47" s="215" t="s">
        <v>308</v>
      </c>
      <c r="D47" s="150" t="e">
        <f>D8+D33</f>
        <v>#REF!</v>
      </c>
      <c r="E47" s="150">
        <f>E49</f>
        <v>460.6</v>
      </c>
      <c r="F47" s="150">
        <f t="shared" ref="F47:N47" si="24">F49</f>
        <v>1155.3</v>
      </c>
      <c r="G47" s="150">
        <f t="shared" si="24"/>
        <v>1218.8</v>
      </c>
      <c r="H47" s="150">
        <f t="shared" si="24"/>
        <v>115.15</v>
      </c>
      <c r="I47" s="150">
        <f t="shared" si="24"/>
        <v>115.15</v>
      </c>
      <c r="J47" s="150">
        <f t="shared" si="24"/>
        <v>115.15</v>
      </c>
      <c r="K47" s="150">
        <f t="shared" si="24"/>
        <v>115.15</v>
      </c>
      <c r="L47" s="150">
        <f t="shared" si="24"/>
        <v>497.44800000000004</v>
      </c>
      <c r="M47" s="150">
        <f t="shared" si="24"/>
        <v>531.77191200000004</v>
      </c>
      <c r="N47" s="363">
        <f t="shared" si="24"/>
        <v>460.6</v>
      </c>
      <c r="O47" s="367">
        <f t="shared" si="3"/>
        <v>1</v>
      </c>
    </row>
    <row r="48" spans="1:15" ht="84" hidden="1" customHeight="1" x14ac:dyDescent="0.2">
      <c r="A48" s="180" t="s">
        <v>506</v>
      </c>
      <c r="B48" s="147" t="s">
        <v>208</v>
      </c>
      <c r="C48" s="215" t="s">
        <v>517</v>
      </c>
      <c r="D48" s="220">
        <v>30381.3</v>
      </c>
      <c r="E48" s="150">
        <f>E49</f>
        <v>460.6</v>
      </c>
      <c r="F48" s="150">
        <f t="shared" ref="F48:N48" si="25">F49</f>
        <v>1155.3</v>
      </c>
      <c r="G48" s="150">
        <f t="shared" si="25"/>
        <v>1218.8</v>
      </c>
      <c r="H48" s="150">
        <f t="shared" si="25"/>
        <v>115.15</v>
      </c>
      <c r="I48" s="150">
        <f t="shared" si="25"/>
        <v>115.15</v>
      </c>
      <c r="J48" s="150">
        <f t="shared" si="25"/>
        <v>115.15</v>
      </c>
      <c r="K48" s="150">
        <f t="shared" si="25"/>
        <v>115.15</v>
      </c>
      <c r="L48" s="150">
        <f t="shared" si="25"/>
        <v>497.44800000000004</v>
      </c>
      <c r="M48" s="150">
        <f t="shared" si="25"/>
        <v>531.77191200000004</v>
      </c>
      <c r="N48" s="363">
        <f t="shared" si="25"/>
        <v>460.6</v>
      </c>
      <c r="O48" s="367">
        <f t="shared" si="3"/>
        <v>1</v>
      </c>
    </row>
    <row r="49" spans="1:15" ht="75" hidden="1" customHeight="1" x14ac:dyDescent="0.2">
      <c r="A49" s="180" t="s">
        <v>507</v>
      </c>
      <c r="B49" s="147" t="s">
        <v>86</v>
      </c>
      <c r="C49" s="148" t="s">
        <v>309</v>
      </c>
      <c r="D49" s="183" t="e">
        <f>D47-D48</f>
        <v>#REF!</v>
      </c>
      <c r="E49" s="150">
        <v>460.6</v>
      </c>
      <c r="F49" s="224">
        <v>1155.3</v>
      </c>
      <c r="G49" s="192">
        <v>1218.8</v>
      </c>
      <c r="H49" s="153">
        <f>E49/4</f>
        <v>115.15</v>
      </c>
      <c r="I49" s="153">
        <f>E49/4</f>
        <v>115.15</v>
      </c>
      <c r="J49" s="153">
        <f>E49/4</f>
        <v>115.15</v>
      </c>
      <c r="K49" s="153">
        <f>E49/4</f>
        <v>115.15</v>
      </c>
      <c r="L49" s="150">
        <f>E49*108%</f>
        <v>497.44800000000004</v>
      </c>
      <c r="M49" s="150">
        <f>L49*106.9%</f>
        <v>531.77191200000004</v>
      </c>
      <c r="N49" s="258">
        <v>460.6</v>
      </c>
      <c r="O49" s="367">
        <f t="shared" si="3"/>
        <v>1</v>
      </c>
    </row>
    <row r="50" spans="1:15" ht="21" customHeight="1" x14ac:dyDescent="0.2">
      <c r="A50" s="125"/>
      <c r="B50" s="226"/>
      <c r="C50" s="227" t="s">
        <v>8</v>
      </c>
      <c r="D50" s="220" t="e">
        <f>D47-D33</f>
        <v>#REF!</v>
      </c>
      <c r="E50" s="220">
        <f>E8+E37</f>
        <v>93467.299999999988</v>
      </c>
      <c r="F50" s="220">
        <f t="shared" ref="F50:N50" si="26">F8+F37</f>
        <v>89171.568599999999</v>
      </c>
      <c r="G50" s="220">
        <f t="shared" si="26"/>
        <v>90842.084372999991</v>
      </c>
      <c r="H50" s="220">
        <f t="shared" si="26"/>
        <v>26030.558333333334</v>
      </c>
      <c r="I50" s="220">
        <f t="shared" si="26"/>
        <v>26030.558333333334</v>
      </c>
      <c r="J50" s="220">
        <f t="shared" si="26"/>
        <v>26030.558333333334</v>
      </c>
      <c r="K50" s="220">
        <f t="shared" si="26"/>
        <v>17176.424999999999</v>
      </c>
      <c r="L50" s="220">
        <f t="shared" si="26"/>
        <v>100880.86000000002</v>
      </c>
      <c r="M50" s="220">
        <f t="shared" si="26"/>
        <v>107786.59114</v>
      </c>
      <c r="N50" s="362">
        <f t="shared" si="26"/>
        <v>103782.75</v>
      </c>
      <c r="O50" s="367">
        <f t="shared" si="3"/>
        <v>1.1103642664332876</v>
      </c>
    </row>
    <row r="51" spans="1:15" ht="19.5" customHeight="1" x14ac:dyDescent="0.2"/>
    <row r="54" spans="1:15" x14ac:dyDescent="0.2">
      <c r="E54" s="118"/>
      <c r="K54" s="118"/>
    </row>
  </sheetData>
  <mergeCells count="4">
    <mergeCell ref="C2:O2"/>
    <mergeCell ref="A6:K6"/>
    <mergeCell ref="A4:O4"/>
    <mergeCell ref="A5:O5"/>
  </mergeCells>
  <printOptions horizontalCentered="1"/>
  <pageMargins left="0.59055118110236227" right="0.39370078740157483" top="0.19685039370078741" bottom="0.19685039370078741" header="0" footer="0"/>
  <pageSetup paperSize="9" fitToHeight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workbookViewId="0">
      <selection activeCell="I7" sqref="I7"/>
    </sheetView>
  </sheetViews>
  <sheetFormatPr defaultRowHeight="12.75" x14ac:dyDescent="0.2"/>
  <cols>
    <col min="1" max="1" width="46.140625" style="8" customWidth="1"/>
    <col min="2" max="2" width="9.140625" style="9" customWidth="1"/>
    <col min="3" max="3" width="15" style="8" customWidth="1"/>
    <col min="4" max="4" width="11.140625" style="8" customWidth="1"/>
    <col min="5" max="5" width="15.28515625" style="114" customWidth="1"/>
    <col min="6" max="6" width="16.28515625" style="114" customWidth="1"/>
    <col min="7" max="7" width="13.28515625" style="402" customWidth="1"/>
    <col min="8" max="8" width="16.42578125" style="114" customWidth="1"/>
    <col min="9" max="9" width="11.5703125" style="114" customWidth="1"/>
    <col min="10" max="16384" width="9.140625" style="114"/>
  </cols>
  <sheetData>
    <row r="1" spans="1:7" ht="15.75" x14ac:dyDescent="0.2">
      <c r="A1" s="253"/>
      <c r="B1" s="355"/>
      <c r="C1" s="231"/>
      <c r="D1" s="231"/>
      <c r="G1" s="395" t="s">
        <v>630</v>
      </c>
    </row>
    <row r="2" spans="1:7" x14ac:dyDescent="0.2">
      <c r="A2" s="116"/>
      <c r="B2" s="116"/>
      <c r="C2" s="116"/>
      <c r="D2" s="116"/>
      <c r="G2" s="426" t="s">
        <v>627</v>
      </c>
    </row>
    <row r="3" spans="1:7" ht="32.25" customHeight="1" x14ac:dyDescent="0.2">
      <c r="A3" s="116"/>
      <c r="B3" s="116"/>
      <c r="C3" s="116"/>
      <c r="D3" s="116"/>
      <c r="G3" s="426" t="s">
        <v>628</v>
      </c>
    </row>
    <row r="4" spans="1:7" x14ac:dyDescent="0.2">
      <c r="A4" s="116"/>
      <c r="B4" s="116"/>
      <c r="C4" s="116"/>
      <c r="D4" s="116"/>
      <c r="E4" s="233"/>
    </row>
    <row r="5" spans="1:7" ht="12.75" customHeight="1" x14ac:dyDescent="0.2">
      <c r="A5" s="424" t="s">
        <v>614</v>
      </c>
      <c r="B5" s="424"/>
      <c r="C5" s="424"/>
      <c r="D5" s="424"/>
      <c r="E5" s="424"/>
      <c r="F5" s="424"/>
      <c r="G5" s="424"/>
    </row>
    <row r="6" spans="1:7" ht="27" customHeight="1" x14ac:dyDescent="0.2">
      <c r="A6" s="424"/>
      <c r="B6" s="424"/>
      <c r="C6" s="424"/>
      <c r="D6" s="424"/>
      <c r="E6" s="424"/>
      <c r="F6" s="424"/>
      <c r="G6" s="424"/>
    </row>
    <row r="7" spans="1:7" ht="13.5" thickBot="1" x14ac:dyDescent="0.25">
      <c r="A7" s="235"/>
      <c r="B7" s="234"/>
      <c r="C7" s="234"/>
      <c r="D7" s="236"/>
      <c r="E7" s="116"/>
    </row>
    <row r="8" spans="1:7" ht="85.5" customHeight="1" thickBot="1" x14ac:dyDescent="0.25">
      <c r="A8" s="390" t="s">
        <v>24</v>
      </c>
      <c r="B8" s="239" t="s">
        <v>25</v>
      </c>
      <c r="C8" s="239" t="s">
        <v>14</v>
      </c>
      <c r="D8" s="239" t="s">
        <v>26</v>
      </c>
      <c r="E8" s="391" t="s">
        <v>615</v>
      </c>
      <c r="F8" s="392" t="s">
        <v>616</v>
      </c>
      <c r="G8" s="404" t="s">
        <v>617</v>
      </c>
    </row>
    <row r="9" spans="1:7" ht="20.25" customHeight="1" x14ac:dyDescent="0.2">
      <c r="A9" s="271" t="s">
        <v>72</v>
      </c>
      <c r="B9" s="272" t="s">
        <v>13</v>
      </c>
      <c r="C9" s="272"/>
      <c r="D9" s="272"/>
      <c r="E9" s="372">
        <f>E10+E14+E34+E55+E59</f>
        <v>27204.9</v>
      </c>
      <c r="F9" s="372">
        <f>F10+F14+F34+F55+F59</f>
        <v>26625.200000000001</v>
      </c>
      <c r="G9" s="405">
        <f>F9/E9</f>
        <v>0.97869133869266201</v>
      </c>
    </row>
    <row r="10" spans="1:7" ht="41.25" customHeight="1" x14ac:dyDescent="0.2">
      <c r="A10" s="271" t="s">
        <v>334</v>
      </c>
      <c r="B10" s="272" t="s">
        <v>41</v>
      </c>
      <c r="C10" s="272"/>
      <c r="D10" s="272"/>
      <c r="E10" s="372">
        <f t="shared" ref="E10:F12" si="0">E11</f>
        <v>1035.6000000000001</v>
      </c>
      <c r="F10" s="372">
        <f t="shared" si="0"/>
        <v>1034.5999999999999</v>
      </c>
      <c r="G10" s="405">
        <f t="shared" ref="G10:G72" si="1">F10/E10</f>
        <v>0.99903437620702951</v>
      </c>
    </row>
    <row r="11" spans="1:7" x14ac:dyDescent="0.2">
      <c r="A11" s="275" t="s">
        <v>156</v>
      </c>
      <c r="B11" s="273" t="s">
        <v>41</v>
      </c>
      <c r="C11" s="273" t="s">
        <v>519</v>
      </c>
      <c r="D11" s="273"/>
      <c r="E11" s="373">
        <f t="shared" si="0"/>
        <v>1035.6000000000001</v>
      </c>
      <c r="F11" s="373">
        <f t="shared" si="0"/>
        <v>1034.5999999999999</v>
      </c>
      <c r="G11" s="405">
        <f t="shared" si="1"/>
        <v>0.99903437620702951</v>
      </c>
    </row>
    <row r="12" spans="1:7" ht="50.25" customHeight="1" x14ac:dyDescent="0.2">
      <c r="A12" s="241" t="s">
        <v>357</v>
      </c>
      <c r="B12" s="242" t="s">
        <v>41</v>
      </c>
      <c r="C12" s="242" t="s">
        <v>519</v>
      </c>
      <c r="D12" s="242" t="s">
        <v>355</v>
      </c>
      <c r="E12" s="374">
        <f t="shared" si="0"/>
        <v>1035.6000000000001</v>
      </c>
      <c r="F12" s="374">
        <f t="shared" si="0"/>
        <v>1034.5999999999999</v>
      </c>
      <c r="G12" s="405">
        <f t="shared" si="1"/>
        <v>0.99903437620702951</v>
      </c>
    </row>
    <row r="13" spans="1:7" ht="27.75" customHeight="1" x14ac:dyDescent="0.2">
      <c r="A13" s="241" t="s">
        <v>358</v>
      </c>
      <c r="B13" s="242" t="s">
        <v>41</v>
      </c>
      <c r="C13" s="242" t="s">
        <v>519</v>
      </c>
      <c r="D13" s="242" t="s">
        <v>356</v>
      </c>
      <c r="E13" s="374">
        <f>'прил 4 вед 15.12'!G14</f>
        <v>1035.6000000000001</v>
      </c>
      <c r="F13" s="374">
        <f>'прил 4 вед 15.12'!H14</f>
        <v>1034.5999999999999</v>
      </c>
      <c r="G13" s="405">
        <f t="shared" si="1"/>
        <v>0.99903437620702951</v>
      </c>
    </row>
    <row r="14" spans="1:7" ht="39.75" customHeight="1" x14ac:dyDescent="0.2">
      <c r="A14" s="275" t="s">
        <v>214</v>
      </c>
      <c r="B14" s="273" t="s">
        <v>27</v>
      </c>
      <c r="C14" s="273"/>
      <c r="D14" s="273"/>
      <c r="E14" s="373">
        <f>E16+E31</f>
        <v>1550.8</v>
      </c>
      <c r="F14" s="373">
        <f>F16+F31</f>
        <v>1356.5</v>
      </c>
      <c r="G14" s="405">
        <f t="shared" si="1"/>
        <v>0.87470982718596857</v>
      </c>
    </row>
    <row r="15" spans="1:7" ht="30" hidden="1" customHeight="1" x14ac:dyDescent="0.2">
      <c r="A15" s="325" t="s">
        <v>566</v>
      </c>
      <c r="B15" s="326" t="s">
        <v>27</v>
      </c>
      <c r="C15" s="273" t="s">
        <v>520</v>
      </c>
      <c r="D15" s="326"/>
      <c r="E15" s="373">
        <f>E16+E31</f>
        <v>1550.8</v>
      </c>
      <c r="F15" s="389"/>
      <c r="G15" s="405">
        <f t="shared" si="1"/>
        <v>0</v>
      </c>
    </row>
    <row r="16" spans="1:7" ht="24" x14ac:dyDescent="0.2">
      <c r="A16" s="275" t="s">
        <v>260</v>
      </c>
      <c r="B16" s="273" t="s">
        <v>27</v>
      </c>
      <c r="C16" s="273" t="s">
        <v>560</v>
      </c>
      <c r="D16" s="273"/>
      <c r="E16" s="373">
        <f>E17+E19+E29</f>
        <v>1410.3999999999999</v>
      </c>
      <c r="F16" s="373">
        <f>F17+F19+F29</f>
        <v>1216.0999999999999</v>
      </c>
      <c r="G16" s="405">
        <f t="shared" si="1"/>
        <v>0.86223766307430516</v>
      </c>
    </row>
    <row r="17" spans="1:7" ht="48" x14ac:dyDescent="0.2">
      <c r="A17" s="327" t="s">
        <v>359</v>
      </c>
      <c r="B17" s="242" t="s">
        <v>27</v>
      </c>
      <c r="C17" s="242" t="s">
        <v>560</v>
      </c>
      <c r="D17" s="242" t="s">
        <v>355</v>
      </c>
      <c r="E17" s="375">
        <f>E18</f>
        <v>1310.0999999999999</v>
      </c>
      <c r="F17" s="375">
        <f>F18</f>
        <v>1115.8</v>
      </c>
      <c r="G17" s="405">
        <f t="shared" si="1"/>
        <v>0.85169071063277613</v>
      </c>
    </row>
    <row r="18" spans="1:7" ht="24" x14ac:dyDescent="0.2">
      <c r="A18" s="327" t="s">
        <v>360</v>
      </c>
      <c r="B18" s="242" t="s">
        <v>27</v>
      </c>
      <c r="C18" s="242" t="s">
        <v>560</v>
      </c>
      <c r="D18" s="242" t="s">
        <v>356</v>
      </c>
      <c r="E18" s="375">
        <f>'прил 4 вед 15.12'!G19</f>
        <v>1310.0999999999999</v>
      </c>
      <c r="F18" s="375">
        <f>'прил 4 вед 15.12'!H19</f>
        <v>1115.8</v>
      </c>
      <c r="G18" s="405">
        <f t="shared" si="1"/>
        <v>0.85169071063277613</v>
      </c>
    </row>
    <row r="19" spans="1:7" ht="30.75" customHeight="1" x14ac:dyDescent="0.2">
      <c r="A19" s="328" t="s">
        <v>362</v>
      </c>
      <c r="B19" s="242" t="s">
        <v>27</v>
      </c>
      <c r="C19" s="242" t="s">
        <v>560</v>
      </c>
      <c r="D19" s="242" t="s">
        <v>361</v>
      </c>
      <c r="E19" s="375">
        <f>E20</f>
        <v>98.3</v>
      </c>
      <c r="F19" s="375">
        <f>F20</f>
        <v>98.3</v>
      </c>
      <c r="G19" s="405">
        <f t="shared" si="1"/>
        <v>1</v>
      </c>
    </row>
    <row r="20" spans="1:7" ht="36" x14ac:dyDescent="0.2">
      <c r="A20" s="241" t="s">
        <v>328</v>
      </c>
      <c r="B20" s="242" t="s">
        <v>27</v>
      </c>
      <c r="C20" s="242" t="s">
        <v>560</v>
      </c>
      <c r="D20" s="242" t="s">
        <v>265</v>
      </c>
      <c r="E20" s="375">
        <f>'прил 4 вед 15.12'!G21</f>
        <v>98.3</v>
      </c>
      <c r="F20" s="375">
        <f>'прил 4 вед 15.12'!H21</f>
        <v>98.3</v>
      </c>
      <c r="G20" s="405">
        <f t="shared" si="1"/>
        <v>1</v>
      </c>
    </row>
    <row r="21" spans="1:7" ht="36.75" hidden="1" thickBot="1" x14ac:dyDescent="0.25">
      <c r="A21" s="268" t="s">
        <v>389</v>
      </c>
      <c r="B21" s="269"/>
      <c r="C21" s="269"/>
      <c r="D21" s="269"/>
      <c r="E21" s="376">
        <v>0</v>
      </c>
      <c r="F21" s="389"/>
      <c r="G21" s="405" t="e">
        <f t="shared" si="1"/>
        <v>#DIV/0!</v>
      </c>
    </row>
    <row r="22" spans="1:7" hidden="1" x14ac:dyDescent="0.2">
      <c r="A22" s="271" t="s">
        <v>72</v>
      </c>
      <c r="B22" s="272" t="s">
        <v>13</v>
      </c>
      <c r="C22" s="272"/>
      <c r="D22" s="272"/>
      <c r="E22" s="372">
        <v>0</v>
      </c>
      <c r="F22" s="389"/>
      <c r="G22" s="405" t="e">
        <f t="shared" si="1"/>
        <v>#DIV/0!</v>
      </c>
    </row>
    <row r="23" spans="1:7" hidden="1" x14ac:dyDescent="0.2">
      <c r="A23" s="277" t="s">
        <v>326</v>
      </c>
      <c r="B23" s="278" t="s">
        <v>319</v>
      </c>
      <c r="C23" s="278"/>
      <c r="D23" s="278"/>
      <c r="E23" s="373">
        <f>E24</f>
        <v>0</v>
      </c>
      <c r="F23" s="389"/>
      <c r="G23" s="405" t="e">
        <f t="shared" si="1"/>
        <v>#DIV/0!</v>
      </c>
    </row>
    <row r="24" spans="1:7" ht="24" hidden="1" x14ac:dyDescent="0.2">
      <c r="A24" s="275" t="s">
        <v>390</v>
      </c>
      <c r="B24" s="273" t="s">
        <v>319</v>
      </c>
      <c r="C24" s="273" t="s">
        <v>391</v>
      </c>
      <c r="D24" s="273"/>
      <c r="E24" s="373">
        <f>E25+E27</f>
        <v>0</v>
      </c>
      <c r="F24" s="389"/>
      <c r="G24" s="405" t="e">
        <f t="shared" si="1"/>
        <v>#DIV/0!</v>
      </c>
    </row>
    <row r="25" spans="1:7" ht="60" hidden="1" x14ac:dyDescent="0.2">
      <c r="A25" s="241" t="s">
        <v>357</v>
      </c>
      <c r="B25" s="243" t="s">
        <v>319</v>
      </c>
      <c r="C25" s="243" t="s">
        <v>320</v>
      </c>
      <c r="D25" s="243" t="s">
        <v>355</v>
      </c>
      <c r="E25" s="374">
        <f>E26</f>
        <v>0</v>
      </c>
      <c r="F25" s="389"/>
      <c r="G25" s="405" t="e">
        <f t="shared" si="1"/>
        <v>#DIV/0!</v>
      </c>
    </row>
    <row r="26" spans="1:7" ht="36" hidden="1" x14ac:dyDescent="0.2">
      <c r="A26" s="241" t="s">
        <v>358</v>
      </c>
      <c r="B26" s="243" t="s">
        <v>319</v>
      </c>
      <c r="C26" s="243" t="s">
        <v>320</v>
      </c>
      <c r="D26" s="243" t="s">
        <v>356</v>
      </c>
      <c r="E26" s="374">
        <v>0</v>
      </c>
      <c r="F26" s="389"/>
      <c r="G26" s="405" t="e">
        <f t="shared" si="1"/>
        <v>#DIV/0!</v>
      </c>
    </row>
    <row r="27" spans="1:7" ht="36" hidden="1" x14ac:dyDescent="0.2">
      <c r="A27" s="241" t="s">
        <v>392</v>
      </c>
      <c r="B27" s="243" t="s">
        <v>319</v>
      </c>
      <c r="C27" s="243" t="s">
        <v>320</v>
      </c>
      <c r="D27" s="243" t="s">
        <v>361</v>
      </c>
      <c r="E27" s="374">
        <f>E28</f>
        <v>0</v>
      </c>
      <c r="F27" s="389"/>
      <c r="G27" s="405" t="e">
        <f t="shared" si="1"/>
        <v>#DIV/0!</v>
      </c>
    </row>
    <row r="28" spans="1:7" ht="36" hidden="1" x14ac:dyDescent="0.2">
      <c r="A28" s="241" t="s">
        <v>328</v>
      </c>
      <c r="B28" s="243" t="s">
        <v>319</v>
      </c>
      <c r="C28" s="243" t="s">
        <v>320</v>
      </c>
      <c r="D28" s="243" t="s">
        <v>265</v>
      </c>
      <c r="E28" s="374">
        <v>0</v>
      </c>
      <c r="F28" s="389"/>
      <c r="G28" s="405" t="e">
        <f t="shared" si="1"/>
        <v>#DIV/0!</v>
      </c>
    </row>
    <row r="29" spans="1:7" ht="15" customHeight="1" x14ac:dyDescent="0.2">
      <c r="A29" s="328" t="s">
        <v>603</v>
      </c>
      <c r="B29" s="242" t="s">
        <v>27</v>
      </c>
      <c r="C29" s="242" t="s">
        <v>560</v>
      </c>
      <c r="D29" s="242" t="s">
        <v>366</v>
      </c>
      <c r="E29" s="375">
        <f>E30</f>
        <v>2</v>
      </c>
      <c r="F29" s="375">
        <f>F30</f>
        <v>2</v>
      </c>
      <c r="G29" s="405">
        <f t="shared" si="1"/>
        <v>1</v>
      </c>
    </row>
    <row r="30" spans="1:7" ht="21" customHeight="1" x14ac:dyDescent="0.2">
      <c r="A30" s="241" t="s">
        <v>501</v>
      </c>
      <c r="B30" s="242" t="s">
        <v>27</v>
      </c>
      <c r="C30" s="242" t="s">
        <v>560</v>
      </c>
      <c r="D30" s="242" t="s">
        <v>368</v>
      </c>
      <c r="E30" s="375">
        <f>'прил 4 вед 15.12'!G32</f>
        <v>2</v>
      </c>
      <c r="F30" s="375">
        <f>'прил 4 вед 15.12'!H32</f>
        <v>2</v>
      </c>
      <c r="G30" s="405">
        <f t="shared" si="1"/>
        <v>1</v>
      </c>
    </row>
    <row r="31" spans="1:7" ht="24" x14ac:dyDescent="0.2">
      <c r="A31" s="325" t="s">
        <v>240</v>
      </c>
      <c r="B31" s="326" t="s">
        <v>27</v>
      </c>
      <c r="C31" s="273" t="s">
        <v>561</v>
      </c>
      <c r="D31" s="326"/>
      <c r="E31" s="373">
        <f>E32</f>
        <v>140.4</v>
      </c>
      <c r="F31" s="373">
        <f>F32</f>
        <v>140.4</v>
      </c>
      <c r="G31" s="405">
        <f t="shared" si="1"/>
        <v>1</v>
      </c>
    </row>
    <row r="32" spans="1:7" ht="49.5" customHeight="1" x14ac:dyDescent="0.2">
      <c r="A32" s="241" t="s">
        <v>357</v>
      </c>
      <c r="B32" s="242" t="s">
        <v>27</v>
      </c>
      <c r="C32" s="242" t="s">
        <v>561</v>
      </c>
      <c r="D32" s="242" t="s">
        <v>355</v>
      </c>
      <c r="E32" s="374">
        <f>E33</f>
        <v>140.4</v>
      </c>
      <c r="F32" s="374">
        <f>F33</f>
        <v>140.4</v>
      </c>
      <c r="G32" s="405">
        <f t="shared" si="1"/>
        <v>1</v>
      </c>
    </row>
    <row r="33" spans="1:7" ht="26.25" customHeight="1" x14ac:dyDescent="0.2">
      <c r="A33" s="241" t="s">
        <v>358</v>
      </c>
      <c r="B33" s="242" t="s">
        <v>27</v>
      </c>
      <c r="C33" s="242" t="s">
        <v>561</v>
      </c>
      <c r="D33" s="242" t="s">
        <v>356</v>
      </c>
      <c r="E33" s="374">
        <f>'прил 4 вед 15.12'!G35</f>
        <v>140.4</v>
      </c>
      <c r="F33" s="374">
        <f>'прил 4 вед 15.12'!H35</f>
        <v>140.4</v>
      </c>
      <c r="G33" s="405">
        <f t="shared" si="1"/>
        <v>1</v>
      </c>
    </row>
    <row r="34" spans="1:7" ht="48" x14ac:dyDescent="0.2">
      <c r="A34" s="275" t="s">
        <v>264</v>
      </c>
      <c r="B34" s="273" t="s">
        <v>44</v>
      </c>
      <c r="C34" s="273"/>
      <c r="D34" s="273"/>
      <c r="E34" s="373">
        <f>E36+E39+E46+E49</f>
        <v>23735.3</v>
      </c>
      <c r="F34" s="373">
        <f>F36+F39+F46+F49</f>
        <v>23373.600000000002</v>
      </c>
      <c r="G34" s="405">
        <f t="shared" si="1"/>
        <v>0.98476109423516889</v>
      </c>
    </row>
    <row r="35" spans="1:7" ht="36" x14ac:dyDescent="0.2">
      <c r="A35" s="275" t="s">
        <v>564</v>
      </c>
      <c r="B35" s="273" t="s">
        <v>44</v>
      </c>
      <c r="C35" s="273" t="s">
        <v>521</v>
      </c>
      <c r="D35" s="273"/>
      <c r="E35" s="373">
        <f>E36+E39</f>
        <v>22937.5</v>
      </c>
      <c r="F35" s="373">
        <f>F36+F39</f>
        <v>22579.600000000002</v>
      </c>
      <c r="G35" s="405">
        <f t="shared" si="1"/>
        <v>0.98439673024523167</v>
      </c>
    </row>
    <row r="36" spans="1:7" ht="36" x14ac:dyDescent="0.2">
      <c r="A36" s="275" t="s">
        <v>163</v>
      </c>
      <c r="B36" s="273" t="s">
        <v>44</v>
      </c>
      <c r="C36" s="273" t="s">
        <v>562</v>
      </c>
      <c r="D36" s="273"/>
      <c r="E36" s="373">
        <f>E38</f>
        <v>1068.5999999999999</v>
      </c>
      <c r="F36" s="373">
        <f>F38</f>
        <v>1067.2</v>
      </c>
      <c r="G36" s="405">
        <f t="shared" si="1"/>
        <v>0.99868987460228353</v>
      </c>
    </row>
    <row r="37" spans="1:7" ht="48" x14ac:dyDescent="0.2">
      <c r="A37" s="241" t="s">
        <v>359</v>
      </c>
      <c r="B37" s="242" t="s">
        <v>44</v>
      </c>
      <c r="C37" s="242" t="s">
        <v>562</v>
      </c>
      <c r="D37" s="242" t="s">
        <v>355</v>
      </c>
      <c r="E37" s="374">
        <f>E38</f>
        <v>1068.5999999999999</v>
      </c>
      <c r="F37" s="374">
        <f>F38</f>
        <v>1067.2</v>
      </c>
      <c r="G37" s="405">
        <f t="shared" si="1"/>
        <v>0.99868987460228353</v>
      </c>
    </row>
    <row r="38" spans="1:7" ht="24" x14ac:dyDescent="0.2">
      <c r="A38" s="241" t="s">
        <v>360</v>
      </c>
      <c r="B38" s="242" t="s">
        <v>44</v>
      </c>
      <c r="C38" s="242" t="s">
        <v>562</v>
      </c>
      <c r="D38" s="242" t="s">
        <v>356</v>
      </c>
      <c r="E38" s="374">
        <f>'прил 4 вед 15.12'!G42</f>
        <v>1068.5999999999999</v>
      </c>
      <c r="F38" s="374">
        <f>'прил 4 вед 15.12'!H42</f>
        <v>1067.2</v>
      </c>
      <c r="G38" s="405">
        <f t="shared" si="1"/>
        <v>0.99868987460228353</v>
      </c>
    </row>
    <row r="39" spans="1:7" ht="36" x14ac:dyDescent="0.2">
      <c r="A39" s="277" t="s">
        <v>174</v>
      </c>
      <c r="B39" s="273" t="s">
        <v>44</v>
      </c>
      <c r="C39" s="273" t="s">
        <v>563</v>
      </c>
      <c r="D39" s="273"/>
      <c r="E39" s="373">
        <f>E40+E42+E44</f>
        <v>21868.9</v>
      </c>
      <c r="F39" s="373">
        <f>F40+F42+F44</f>
        <v>21512.400000000001</v>
      </c>
      <c r="G39" s="405">
        <f t="shared" si="1"/>
        <v>0.98369831130052265</v>
      </c>
    </row>
    <row r="40" spans="1:7" ht="48" x14ac:dyDescent="0.2">
      <c r="A40" s="241" t="s">
        <v>359</v>
      </c>
      <c r="B40" s="242" t="s">
        <v>44</v>
      </c>
      <c r="C40" s="242" t="s">
        <v>563</v>
      </c>
      <c r="D40" s="242" t="s">
        <v>355</v>
      </c>
      <c r="E40" s="377">
        <f>E41</f>
        <v>11745.099999999999</v>
      </c>
      <c r="F40" s="377">
        <f>F41</f>
        <v>11453.6</v>
      </c>
      <c r="G40" s="405">
        <f t="shared" si="1"/>
        <v>0.97518113936875817</v>
      </c>
    </row>
    <row r="41" spans="1:7" ht="24" x14ac:dyDescent="0.2">
      <c r="A41" s="241" t="s">
        <v>360</v>
      </c>
      <c r="B41" s="242" t="s">
        <v>44</v>
      </c>
      <c r="C41" s="242" t="s">
        <v>563</v>
      </c>
      <c r="D41" s="242" t="s">
        <v>356</v>
      </c>
      <c r="E41" s="377">
        <f>'прил 4 вед 15.12'!G45</f>
        <v>11745.099999999999</v>
      </c>
      <c r="F41" s="377">
        <f>'прил 4 вед 15.12'!H45</f>
        <v>11453.6</v>
      </c>
      <c r="G41" s="405">
        <f t="shared" si="1"/>
        <v>0.97518113936875817</v>
      </c>
    </row>
    <row r="42" spans="1:7" ht="31.5" customHeight="1" x14ac:dyDescent="0.2">
      <c r="A42" s="328" t="s">
        <v>362</v>
      </c>
      <c r="B42" s="242" t="s">
        <v>44</v>
      </c>
      <c r="C42" s="242" t="s">
        <v>563</v>
      </c>
      <c r="D42" s="242" t="s">
        <v>361</v>
      </c>
      <c r="E42" s="374">
        <f>E43</f>
        <v>10108.800000000001</v>
      </c>
      <c r="F42" s="374">
        <f>F43</f>
        <v>10044.4</v>
      </c>
      <c r="G42" s="405">
        <f t="shared" si="1"/>
        <v>0.99362931307375735</v>
      </c>
    </row>
    <row r="43" spans="1:7" ht="27.75" customHeight="1" x14ac:dyDescent="0.2">
      <c r="A43" s="241" t="s">
        <v>328</v>
      </c>
      <c r="B43" s="242" t="s">
        <v>44</v>
      </c>
      <c r="C43" s="242" t="s">
        <v>563</v>
      </c>
      <c r="D43" s="242" t="s">
        <v>265</v>
      </c>
      <c r="E43" s="374">
        <f>'прил 4 вед 15.12'!G47</f>
        <v>10108.800000000001</v>
      </c>
      <c r="F43" s="374">
        <f>'прил 4 вед 15.12'!H47</f>
        <v>10044.4</v>
      </c>
      <c r="G43" s="405">
        <f t="shared" si="1"/>
        <v>0.99362931307375735</v>
      </c>
    </row>
    <row r="44" spans="1:7" ht="24" x14ac:dyDescent="0.2">
      <c r="A44" s="328" t="s">
        <v>367</v>
      </c>
      <c r="B44" s="242" t="s">
        <v>44</v>
      </c>
      <c r="C44" s="242" t="s">
        <v>563</v>
      </c>
      <c r="D44" s="242" t="s">
        <v>366</v>
      </c>
      <c r="E44" s="374">
        <f>E45</f>
        <v>15</v>
      </c>
      <c r="F44" s="374">
        <f>F45</f>
        <v>14.4</v>
      </c>
      <c r="G44" s="405">
        <f t="shared" si="1"/>
        <v>0.96000000000000008</v>
      </c>
    </row>
    <row r="45" spans="1:7" ht="24" x14ac:dyDescent="0.2">
      <c r="A45" s="241" t="s">
        <v>369</v>
      </c>
      <c r="B45" s="242" t="s">
        <v>44</v>
      </c>
      <c r="C45" s="242" t="s">
        <v>563</v>
      </c>
      <c r="D45" s="242" t="s">
        <v>368</v>
      </c>
      <c r="E45" s="374">
        <f>'прил 4 вед 15.12'!G49</f>
        <v>15</v>
      </c>
      <c r="F45" s="374">
        <f>'прил 4 вед 15.12'!H49</f>
        <v>14.4</v>
      </c>
      <c r="G45" s="405">
        <f t="shared" si="1"/>
        <v>0.96000000000000008</v>
      </c>
    </row>
    <row r="46" spans="1:7" ht="60" x14ac:dyDescent="0.2">
      <c r="A46" s="277" t="s">
        <v>570</v>
      </c>
      <c r="B46" s="278" t="s">
        <v>44</v>
      </c>
      <c r="C46" s="278" t="s">
        <v>571</v>
      </c>
      <c r="D46" s="278"/>
      <c r="E46" s="378">
        <f>E47</f>
        <v>6</v>
      </c>
      <c r="F46" s="378">
        <f>F47</f>
        <v>6</v>
      </c>
      <c r="G46" s="405">
        <f t="shared" si="1"/>
        <v>1</v>
      </c>
    </row>
    <row r="47" spans="1:7" ht="27.75" customHeight="1" x14ac:dyDescent="0.2">
      <c r="A47" s="328" t="s">
        <v>362</v>
      </c>
      <c r="B47" s="242" t="s">
        <v>44</v>
      </c>
      <c r="C47" s="243" t="s">
        <v>571</v>
      </c>
      <c r="D47" s="242" t="s">
        <v>361</v>
      </c>
      <c r="E47" s="374">
        <f>E48</f>
        <v>6</v>
      </c>
      <c r="F47" s="374">
        <f>F48</f>
        <v>6</v>
      </c>
      <c r="G47" s="405">
        <f t="shared" si="1"/>
        <v>1</v>
      </c>
    </row>
    <row r="48" spans="1:7" ht="26.25" customHeight="1" x14ac:dyDescent="0.2">
      <c r="A48" s="241" t="s">
        <v>328</v>
      </c>
      <c r="B48" s="242" t="s">
        <v>44</v>
      </c>
      <c r="C48" s="243" t="s">
        <v>571</v>
      </c>
      <c r="D48" s="242" t="s">
        <v>265</v>
      </c>
      <c r="E48" s="374">
        <f>'прил 4 вед 15.12'!G52</f>
        <v>6</v>
      </c>
      <c r="F48" s="374">
        <f>'прил 4 вед 15.12'!H52</f>
        <v>6</v>
      </c>
      <c r="G48" s="405">
        <f t="shared" si="1"/>
        <v>1</v>
      </c>
    </row>
    <row r="49" spans="1:7" ht="48" x14ac:dyDescent="0.2">
      <c r="A49" s="277" t="s">
        <v>572</v>
      </c>
      <c r="B49" s="273" t="s">
        <v>44</v>
      </c>
      <c r="C49" s="278" t="s">
        <v>573</v>
      </c>
      <c r="D49" s="273"/>
      <c r="E49" s="373">
        <f>E50</f>
        <v>791.8</v>
      </c>
      <c r="F49" s="373">
        <f>F50</f>
        <v>788</v>
      </c>
      <c r="G49" s="405">
        <f t="shared" si="1"/>
        <v>0.99520080828492052</v>
      </c>
    </row>
    <row r="50" spans="1:7" ht="24" x14ac:dyDescent="0.2">
      <c r="A50" s="249" t="s">
        <v>176</v>
      </c>
      <c r="B50" s="242" t="s">
        <v>44</v>
      </c>
      <c r="C50" s="243" t="s">
        <v>573</v>
      </c>
      <c r="D50" s="242"/>
      <c r="E50" s="374">
        <f>E51+E53</f>
        <v>791.8</v>
      </c>
      <c r="F50" s="374">
        <f>F51+F53</f>
        <v>788</v>
      </c>
      <c r="G50" s="405">
        <f t="shared" si="1"/>
        <v>0.99520080828492052</v>
      </c>
    </row>
    <row r="51" spans="1:7" ht="48" x14ac:dyDescent="0.2">
      <c r="A51" s="241" t="s">
        <v>359</v>
      </c>
      <c r="B51" s="242" t="s">
        <v>44</v>
      </c>
      <c r="C51" s="243" t="s">
        <v>573</v>
      </c>
      <c r="D51" s="242" t="s">
        <v>355</v>
      </c>
      <c r="E51" s="374">
        <f>E52</f>
        <v>736.3</v>
      </c>
      <c r="F51" s="374">
        <f>F52</f>
        <v>732.5</v>
      </c>
      <c r="G51" s="405">
        <f t="shared" si="1"/>
        <v>0.99483906016569335</v>
      </c>
    </row>
    <row r="52" spans="1:7" ht="24" x14ac:dyDescent="0.2">
      <c r="A52" s="241" t="s">
        <v>360</v>
      </c>
      <c r="B52" s="242" t="s">
        <v>44</v>
      </c>
      <c r="C52" s="243" t="s">
        <v>573</v>
      </c>
      <c r="D52" s="242" t="s">
        <v>356</v>
      </c>
      <c r="E52" s="374">
        <f>'прил 4 вед 15.12'!G56</f>
        <v>736.3</v>
      </c>
      <c r="F52" s="374">
        <f>'прил 4 вед 15.12'!H56</f>
        <v>732.5</v>
      </c>
      <c r="G52" s="405">
        <f t="shared" si="1"/>
        <v>0.99483906016569335</v>
      </c>
    </row>
    <row r="53" spans="1:7" ht="27.75" customHeight="1" x14ac:dyDescent="0.2">
      <c r="A53" s="328" t="s">
        <v>362</v>
      </c>
      <c r="B53" s="242" t="s">
        <v>44</v>
      </c>
      <c r="C53" s="243" t="s">
        <v>573</v>
      </c>
      <c r="D53" s="242" t="s">
        <v>361</v>
      </c>
      <c r="E53" s="374">
        <f>E54</f>
        <v>55.5</v>
      </c>
      <c r="F53" s="374">
        <f>F54</f>
        <v>55.5</v>
      </c>
      <c r="G53" s="405">
        <f t="shared" si="1"/>
        <v>1</v>
      </c>
    </row>
    <row r="54" spans="1:7" ht="23.25" customHeight="1" x14ac:dyDescent="0.2">
      <c r="A54" s="241" t="s">
        <v>328</v>
      </c>
      <c r="B54" s="242" t="s">
        <v>44</v>
      </c>
      <c r="C54" s="243" t="s">
        <v>573</v>
      </c>
      <c r="D54" s="242" t="s">
        <v>265</v>
      </c>
      <c r="E54" s="374">
        <f>'прил 4 вед 15.12'!G58</f>
        <v>55.5</v>
      </c>
      <c r="F54" s="374">
        <f>'прил 4 вед 15.12'!H58</f>
        <v>55.5</v>
      </c>
      <c r="G54" s="405">
        <f t="shared" si="1"/>
        <v>1</v>
      </c>
    </row>
    <row r="55" spans="1:7" x14ac:dyDescent="0.2">
      <c r="A55" s="277" t="s">
        <v>327</v>
      </c>
      <c r="B55" s="273" t="s">
        <v>186</v>
      </c>
      <c r="C55" s="273"/>
      <c r="D55" s="273"/>
      <c r="E55" s="373">
        <f t="shared" ref="E55:F55" si="2">E56</f>
        <v>20</v>
      </c>
      <c r="F55" s="373">
        <f t="shared" si="2"/>
        <v>0</v>
      </c>
      <c r="G55" s="405">
        <f t="shared" si="1"/>
        <v>0</v>
      </c>
    </row>
    <row r="56" spans="1:7" x14ac:dyDescent="0.2">
      <c r="A56" s="275" t="s">
        <v>164</v>
      </c>
      <c r="B56" s="278" t="s">
        <v>186</v>
      </c>
      <c r="C56" s="278" t="s">
        <v>518</v>
      </c>
      <c r="D56" s="278"/>
      <c r="E56" s="378">
        <f>E58</f>
        <v>20</v>
      </c>
      <c r="F56" s="378">
        <f>F58</f>
        <v>0</v>
      </c>
      <c r="G56" s="405">
        <f t="shared" si="1"/>
        <v>0</v>
      </c>
    </row>
    <row r="57" spans="1:7" ht="24" x14ac:dyDescent="0.2">
      <c r="A57" s="282" t="s">
        <v>367</v>
      </c>
      <c r="B57" s="243" t="s">
        <v>186</v>
      </c>
      <c r="C57" s="243" t="s">
        <v>518</v>
      </c>
      <c r="D57" s="243" t="s">
        <v>366</v>
      </c>
      <c r="E57" s="374">
        <f>E58</f>
        <v>20</v>
      </c>
      <c r="F57" s="374">
        <f>F58</f>
        <v>0</v>
      </c>
      <c r="G57" s="405">
        <f t="shared" si="1"/>
        <v>0</v>
      </c>
    </row>
    <row r="58" spans="1:7" x14ac:dyDescent="0.2">
      <c r="A58" s="241" t="s">
        <v>266</v>
      </c>
      <c r="B58" s="243" t="s">
        <v>186</v>
      </c>
      <c r="C58" s="243" t="s">
        <v>518</v>
      </c>
      <c r="D58" s="243" t="s">
        <v>267</v>
      </c>
      <c r="E58" s="374">
        <f>'прил 4 вед 15.12'!G62</f>
        <v>20</v>
      </c>
      <c r="F58" s="374">
        <f>'прил 4 вед 15.12'!H62</f>
        <v>0</v>
      </c>
      <c r="G58" s="405">
        <f t="shared" si="1"/>
        <v>0</v>
      </c>
    </row>
    <row r="59" spans="1:7" x14ac:dyDescent="0.2">
      <c r="A59" s="277" t="s">
        <v>28</v>
      </c>
      <c r="B59" s="273" t="s">
        <v>187</v>
      </c>
      <c r="C59" s="273"/>
      <c r="D59" s="273"/>
      <c r="E59" s="373">
        <f>E68+E74+E65+E80+E77+E83+E71+E62</f>
        <v>863.19999999999993</v>
      </c>
      <c r="F59" s="373">
        <f>F68+F74+F65+F80+F77+F83+F71+F62</f>
        <v>860.5</v>
      </c>
      <c r="G59" s="405">
        <f t="shared" si="1"/>
        <v>0.99687210379981472</v>
      </c>
    </row>
    <row r="60" spans="1:7" ht="36" hidden="1" x14ac:dyDescent="0.2">
      <c r="A60" s="277" t="s">
        <v>165</v>
      </c>
      <c r="B60" s="242" t="s">
        <v>187</v>
      </c>
      <c r="C60" s="242" t="s">
        <v>180</v>
      </c>
      <c r="D60" s="242"/>
      <c r="E60" s="374">
        <f t="shared" ref="E60" si="3">E61</f>
        <v>0</v>
      </c>
      <c r="F60" s="389"/>
      <c r="G60" s="405" t="e">
        <f t="shared" si="1"/>
        <v>#DIV/0!</v>
      </c>
    </row>
    <row r="61" spans="1:7" ht="24" hidden="1" x14ac:dyDescent="0.2">
      <c r="A61" s="250" t="s">
        <v>262</v>
      </c>
      <c r="B61" s="242" t="s">
        <v>187</v>
      </c>
      <c r="C61" s="242" t="s">
        <v>180</v>
      </c>
      <c r="D61" s="242" t="s">
        <v>263</v>
      </c>
      <c r="E61" s="374"/>
      <c r="F61" s="389"/>
      <c r="G61" s="405" t="e">
        <f t="shared" si="1"/>
        <v>#DIV/0!</v>
      </c>
    </row>
    <row r="62" spans="1:7" ht="36" hidden="1" x14ac:dyDescent="0.2">
      <c r="A62" s="277" t="s">
        <v>165</v>
      </c>
      <c r="B62" s="273" t="s">
        <v>187</v>
      </c>
      <c r="C62" s="273" t="s">
        <v>522</v>
      </c>
      <c r="D62" s="273"/>
      <c r="E62" s="373">
        <f t="shared" ref="E62" si="4">E64</f>
        <v>0</v>
      </c>
      <c r="F62" s="389"/>
      <c r="G62" s="405" t="e">
        <f t="shared" si="1"/>
        <v>#DIV/0!</v>
      </c>
    </row>
    <row r="63" spans="1:7" ht="60" hidden="1" x14ac:dyDescent="0.2">
      <c r="A63" s="328" t="s">
        <v>362</v>
      </c>
      <c r="B63" s="242" t="s">
        <v>187</v>
      </c>
      <c r="C63" s="242" t="s">
        <v>522</v>
      </c>
      <c r="D63" s="242" t="s">
        <v>361</v>
      </c>
      <c r="E63" s="374">
        <f>E64</f>
        <v>0</v>
      </c>
      <c r="F63" s="389"/>
      <c r="G63" s="405" t="e">
        <f t="shared" si="1"/>
        <v>#DIV/0!</v>
      </c>
    </row>
    <row r="64" spans="1:7" ht="36" hidden="1" x14ac:dyDescent="0.2">
      <c r="A64" s="241" t="s">
        <v>328</v>
      </c>
      <c r="B64" s="242" t="s">
        <v>187</v>
      </c>
      <c r="C64" s="242" t="s">
        <v>522</v>
      </c>
      <c r="D64" s="242" t="s">
        <v>265</v>
      </c>
      <c r="E64" s="374">
        <f>'прил 4 вед 15.12'!G68</f>
        <v>0</v>
      </c>
      <c r="F64" s="389"/>
      <c r="G64" s="405" t="e">
        <f t="shared" si="1"/>
        <v>#DIV/0!</v>
      </c>
    </row>
    <row r="65" spans="1:7" x14ac:dyDescent="0.2">
      <c r="A65" s="277" t="s">
        <v>435</v>
      </c>
      <c r="B65" s="273" t="s">
        <v>187</v>
      </c>
      <c r="C65" s="273" t="s">
        <v>523</v>
      </c>
      <c r="D65" s="273"/>
      <c r="E65" s="373">
        <f t="shared" ref="E65:F65" si="5">E67</f>
        <v>205.5</v>
      </c>
      <c r="F65" s="373">
        <f t="shared" si="5"/>
        <v>204.8</v>
      </c>
      <c r="G65" s="405">
        <f t="shared" si="1"/>
        <v>0.99659367396593679</v>
      </c>
    </row>
    <row r="66" spans="1:7" ht="27" customHeight="1" x14ac:dyDescent="0.2">
      <c r="A66" s="328" t="s">
        <v>362</v>
      </c>
      <c r="B66" s="242" t="s">
        <v>187</v>
      </c>
      <c r="C66" s="242" t="s">
        <v>523</v>
      </c>
      <c r="D66" s="242" t="s">
        <v>361</v>
      </c>
      <c r="E66" s="374">
        <f>E67</f>
        <v>205.5</v>
      </c>
      <c r="F66" s="374">
        <f>F67</f>
        <v>204.8</v>
      </c>
      <c r="G66" s="405">
        <f t="shared" si="1"/>
        <v>0.99659367396593679</v>
      </c>
    </row>
    <row r="67" spans="1:7" ht="28.5" customHeight="1" x14ac:dyDescent="0.2">
      <c r="A67" s="241" t="s">
        <v>328</v>
      </c>
      <c r="B67" s="242" t="s">
        <v>187</v>
      </c>
      <c r="C67" s="242" t="s">
        <v>523</v>
      </c>
      <c r="D67" s="242" t="s">
        <v>265</v>
      </c>
      <c r="E67" s="374">
        <f>'прил 4 вед 15.12'!G71</f>
        <v>205.5</v>
      </c>
      <c r="F67" s="374">
        <f>'прил 4 вед 15.12'!H71</f>
        <v>204.8</v>
      </c>
      <c r="G67" s="405">
        <f t="shared" si="1"/>
        <v>0.99659367396593679</v>
      </c>
    </row>
    <row r="68" spans="1:7" ht="64.5" customHeight="1" x14ac:dyDescent="0.2">
      <c r="A68" s="277" t="s">
        <v>434</v>
      </c>
      <c r="B68" s="273" t="s">
        <v>187</v>
      </c>
      <c r="C68" s="273" t="s">
        <v>529</v>
      </c>
      <c r="D68" s="273"/>
      <c r="E68" s="373">
        <f t="shared" ref="E68:F68" si="6">E70</f>
        <v>441.4</v>
      </c>
      <c r="F68" s="373">
        <f t="shared" si="6"/>
        <v>439.4</v>
      </c>
      <c r="G68" s="405">
        <f t="shared" si="1"/>
        <v>0.9954689623923878</v>
      </c>
    </row>
    <row r="69" spans="1:7" ht="28.5" customHeight="1" x14ac:dyDescent="0.2">
      <c r="A69" s="328" t="s">
        <v>362</v>
      </c>
      <c r="B69" s="242" t="s">
        <v>187</v>
      </c>
      <c r="C69" s="242" t="s">
        <v>529</v>
      </c>
      <c r="D69" s="242" t="s">
        <v>361</v>
      </c>
      <c r="E69" s="374">
        <f>E70</f>
        <v>441.4</v>
      </c>
      <c r="F69" s="374">
        <f>F70</f>
        <v>439.4</v>
      </c>
      <c r="G69" s="405">
        <f t="shared" si="1"/>
        <v>0.9954689623923878</v>
      </c>
    </row>
    <row r="70" spans="1:7" ht="26.25" customHeight="1" x14ac:dyDescent="0.2">
      <c r="A70" s="241" t="s">
        <v>328</v>
      </c>
      <c r="B70" s="242" t="s">
        <v>187</v>
      </c>
      <c r="C70" s="242" t="s">
        <v>529</v>
      </c>
      <c r="D70" s="242" t="s">
        <v>265</v>
      </c>
      <c r="E70" s="374">
        <f>'прил 4 вед 15.12'!G74</f>
        <v>441.4</v>
      </c>
      <c r="F70" s="374">
        <f>'прил 4 вед 15.12'!H74</f>
        <v>439.4</v>
      </c>
      <c r="G70" s="405">
        <f t="shared" si="1"/>
        <v>0.9954689623923878</v>
      </c>
    </row>
    <row r="71" spans="1:7" ht="48" x14ac:dyDescent="0.2">
      <c r="A71" s="277" t="s">
        <v>480</v>
      </c>
      <c r="B71" s="273" t="s">
        <v>187</v>
      </c>
      <c r="C71" s="273" t="s">
        <v>524</v>
      </c>
      <c r="D71" s="273"/>
      <c r="E71" s="373">
        <f t="shared" ref="E71:F71" si="7">E73</f>
        <v>29.6</v>
      </c>
      <c r="F71" s="373">
        <f t="shared" si="7"/>
        <v>29.6</v>
      </c>
      <c r="G71" s="405">
        <f t="shared" si="1"/>
        <v>1</v>
      </c>
    </row>
    <row r="72" spans="1:7" ht="32.25" customHeight="1" x14ac:dyDescent="0.2">
      <c r="A72" s="328" t="s">
        <v>362</v>
      </c>
      <c r="B72" s="242" t="s">
        <v>187</v>
      </c>
      <c r="C72" s="242" t="s">
        <v>524</v>
      </c>
      <c r="D72" s="242" t="s">
        <v>361</v>
      </c>
      <c r="E72" s="374">
        <f>E73</f>
        <v>29.6</v>
      </c>
      <c r="F72" s="374">
        <f>F73</f>
        <v>29.6</v>
      </c>
      <c r="G72" s="405">
        <f t="shared" si="1"/>
        <v>1</v>
      </c>
    </row>
    <row r="73" spans="1:7" ht="25.5" customHeight="1" x14ac:dyDescent="0.2">
      <c r="A73" s="241" t="s">
        <v>328</v>
      </c>
      <c r="B73" s="242" t="s">
        <v>187</v>
      </c>
      <c r="C73" s="242" t="s">
        <v>524</v>
      </c>
      <c r="D73" s="242" t="s">
        <v>265</v>
      </c>
      <c r="E73" s="374">
        <f>'прил 4 вед 15.12'!G77</f>
        <v>29.6</v>
      </c>
      <c r="F73" s="374">
        <f>'прил 4 вед 15.12'!H77</f>
        <v>29.6</v>
      </c>
      <c r="G73" s="405">
        <f t="shared" ref="G73:G130" si="8">F73/E73</f>
        <v>1</v>
      </c>
    </row>
    <row r="74" spans="1:7" ht="36" x14ac:dyDescent="0.2">
      <c r="A74" s="277" t="s">
        <v>268</v>
      </c>
      <c r="B74" s="273" t="s">
        <v>187</v>
      </c>
      <c r="C74" s="273" t="s">
        <v>526</v>
      </c>
      <c r="D74" s="273"/>
      <c r="E74" s="373">
        <f t="shared" ref="E74:F74" si="9">E76</f>
        <v>60</v>
      </c>
      <c r="F74" s="373">
        <f t="shared" si="9"/>
        <v>60</v>
      </c>
      <c r="G74" s="405">
        <f t="shared" si="8"/>
        <v>1</v>
      </c>
    </row>
    <row r="75" spans="1:7" ht="24" x14ac:dyDescent="0.2">
      <c r="A75" s="250" t="s">
        <v>367</v>
      </c>
      <c r="B75" s="242" t="s">
        <v>187</v>
      </c>
      <c r="C75" s="242" t="s">
        <v>526</v>
      </c>
      <c r="D75" s="242" t="s">
        <v>366</v>
      </c>
      <c r="E75" s="374">
        <f>E76</f>
        <v>60</v>
      </c>
      <c r="F75" s="374">
        <f>F76</f>
        <v>60</v>
      </c>
      <c r="G75" s="405">
        <f t="shared" si="8"/>
        <v>1</v>
      </c>
    </row>
    <row r="76" spans="1:7" ht="24" x14ac:dyDescent="0.2">
      <c r="A76" s="250" t="s">
        <v>369</v>
      </c>
      <c r="B76" s="242" t="s">
        <v>187</v>
      </c>
      <c r="C76" s="242" t="s">
        <v>526</v>
      </c>
      <c r="D76" s="242" t="s">
        <v>368</v>
      </c>
      <c r="E76" s="374">
        <f>'прил 4 вед 15.12'!G80</f>
        <v>60</v>
      </c>
      <c r="F76" s="374">
        <f>'прил 4 вед 15.12'!H80</f>
        <v>60</v>
      </c>
      <c r="G76" s="405">
        <f t="shared" si="8"/>
        <v>1</v>
      </c>
    </row>
    <row r="77" spans="1:7" ht="72" x14ac:dyDescent="0.2">
      <c r="A77" s="277" t="s">
        <v>495</v>
      </c>
      <c r="B77" s="273" t="s">
        <v>187</v>
      </c>
      <c r="C77" s="273" t="s">
        <v>527</v>
      </c>
      <c r="D77" s="273"/>
      <c r="E77" s="379">
        <f>E79</f>
        <v>25.3</v>
      </c>
      <c r="F77" s="379">
        <f>F79</f>
        <v>25.3</v>
      </c>
      <c r="G77" s="405">
        <f t="shared" si="8"/>
        <v>1</v>
      </c>
    </row>
    <row r="78" spans="1:7" ht="30.75" customHeight="1" x14ac:dyDescent="0.2">
      <c r="A78" s="328" t="s">
        <v>362</v>
      </c>
      <c r="B78" s="248" t="s">
        <v>187</v>
      </c>
      <c r="C78" s="242" t="s">
        <v>527</v>
      </c>
      <c r="D78" s="248" t="s">
        <v>361</v>
      </c>
      <c r="E78" s="374">
        <f>E79</f>
        <v>25.3</v>
      </c>
      <c r="F78" s="374">
        <f>F79</f>
        <v>25.3</v>
      </c>
      <c r="G78" s="405">
        <f t="shared" si="8"/>
        <v>1</v>
      </c>
    </row>
    <row r="79" spans="1:7" ht="29.25" customHeight="1" x14ac:dyDescent="0.2">
      <c r="A79" s="241" t="s">
        <v>328</v>
      </c>
      <c r="B79" s="248" t="s">
        <v>187</v>
      </c>
      <c r="C79" s="242" t="s">
        <v>527</v>
      </c>
      <c r="D79" s="248" t="s">
        <v>265</v>
      </c>
      <c r="E79" s="374">
        <f>'прил 4 вед 15.12'!G83</f>
        <v>25.3</v>
      </c>
      <c r="F79" s="374">
        <f>'прил 4 вед 15.12'!H83</f>
        <v>25.3</v>
      </c>
      <c r="G79" s="405">
        <f t="shared" si="8"/>
        <v>1</v>
      </c>
    </row>
    <row r="80" spans="1:7" ht="60" x14ac:dyDescent="0.2">
      <c r="A80" s="277" t="s">
        <v>498</v>
      </c>
      <c r="B80" s="273" t="s">
        <v>187</v>
      </c>
      <c r="C80" s="273" t="s">
        <v>525</v>
      </c>
      <c r="D80" s="273"/>
      <c r="E80" s="373">
        <f>E82</f>
        <v>100.9</v>
      </c>
      <c r="F80" s="373">
        <f>F82</f>
        <v>100.9</v>
      </c>
      <c r="G80" s="405">
        <f t="shared" si="8"/>
        <v>1</v>
      </c>
    </row>
    <row r="81" spans="1:7" ht="23.25" customHeight="1" x14ac:dyDescent="0.2">
      <c r="A81" s="328" t="s">
        <v>362</v>
      </c>
      <c r="B81" s="242" t="s">
        <v>187</v>
      </c>
      <c r="C81" s="242" t="s">
        <v>525</v>
      </c>
      <c r="D81" s="242" t="s">
        <v>361</v>
      </c>
      <c r="E81" s="374">
        <f>E82</f>
        <v>100.9</v>
      </c>
      <c r="F81" s="374">
        <f>F82</f>
        <v>100.9</v>
      </c>
      <c r="G81" s="405">
        <f t="shared" si="8"/>
        <v>1</v>
      </c>
    </row>
    <row r="82" spans="1:7" ht="26.25" customHeight="1" x14ac:dyDescent="0.2">
      <c r="A82" s="241" t="s">
        <v>328</v>
      </c>
      <c r="B82" s="242" t="s">
        <v>187</v>
      </c>
      <c r="C82" s="242" t="s">
        <v>525</v>
      </c>
      <c r="D82" s="242" t="s">
        <v>265</v>
      </c>
      <c r="E82" s="374">
        <f>'прил 4 вед 15.12'!G86</f>
        <v>100.9</v>
      </c>
      <c r="F82" s="374">
        <f>'прил 4 вед 15.12'!H86</f>
        <v>100.9</v>
      </c>
      <c r="G82" s="405">
        <f t="shared" si="8"/>
        <v>1</v>
      </c>
    </row>
    <row r="83" spans="1:7" ht="60" x14ac:dyDescent="0.2">
      <c r="A83" s="277" t="s">
        <v>436</v>
      </c>
      <c r="B83" s="273" t="s">
        <v>187</v>
      </c>
      <c r="C83" s="273" t="s">
        <v>528</v>
      </c>
      <c r="D83" s="273"/>
      <c r="E83" s="373">
        <f>E85</f>
        <v>0.49999999999999989</v>
      </c>
      <c r="F83" s="373">
        <f>F85</f>
        <v>0.5</v>
      </c>
      <c r="G83" s="405">
        <f t="shared" si="8"/>
        <v>1.0000000000000002</v>
      </c>
    </row>
    <row r="84" spans="1:7" ht="60" x14ac:dyDescent="0.2">
      <c r="A84" s="328" t="s">
        <v>362</v>
      </c>
      <c r="B84" s="242" t="s">
        <v>187</v>
      </c>
      <c r="C84" s="242" t="s">
        <v>528</v>
      </c>
      <c r="D84" s="242" t="s">
        <v>361</v>
      </c>
      <c r="E84" s="374">
        <f>E85</f>
        <v>0.49999999999999989</v>
      </c>
      <c r="F84" s="374">
        <f>F85</f>
        <v>0.5</v>
      </c>
      <c r="G84" s="405">
        <f t="shared" si="8"/>
        <v>1.0000000000000002</v>
      </c>
    </row>
    <row r="85" spans="1:7" ht="36.75" thickBot="1" x14ac:dyDescent="0.25">
      <c r="A85" s="241" t="s">
        <v>328</v>
      </c>
      <c r="B85" s="242" t="s">
        <v>187</v>
      </c>
      <c r="C85" s="242" t="s">
        <v>528</v>
      </c>
      <c r="D85" s="242" t="s">
        <v>265</v>
      </c>
      <c r="E85" s="374">
        <f>'прил 4 вед 15.12'!G89</f>
        <v>0.49999999999999989</v>
      </c>
      <c r="F85" s="374">
        <f>'прил 4 вед 15.12'!H89</f>
        <v>0.5</v>
      </c>
      <c r="G85" s="405">
        <f t="shared" si="8"/>
        <v>1.0000000000000002</v>
      </c>
    </row>
    <row r="86" spans="1:7" ht="24.75" thickBot="1" x14ac:dyDescent="0.25">
      <c r="A86" s="284" t="s">
        <v>35</v>
      </c>
      <c r="B86" s="285" t="s">
        <v>29</v>
      </c>
      <c r="C86" s="285"/>
      <c r="D86" s="285"/>
      <c r="E86" s="380">
        <f>E87</f>
        <v>26.5</v>
      </c>
      <c r="F86" s="380">
        <f>F87</f>
        <v>26.5</v>
      </c>
      <c r="G86" s="405">
        <f t="shared" si="8"/>
        <v>1</v>
      </c>
    </row>
    <row r="87" spans="1:7" ht="36" x14ac:dyDescent="0.2">
      <c r="A87" s="287" t="s">
        <v>185</v>
      </c>
      <c r="B87" s="272" t="s">
        <v>20</v>
      </c>
      <c r="C87" s="272"/>
      <c r="D87" s="272"/>
      <c r="E87" s="372">
        <f>E90+E93</f>
        <v>26.5</v>
      </c>
      <c r="F87" s="372">
        <f>F90+F93</f>
        <v>26.5</v>
      </c>
      <c r="G87" s="405">
        <f t="shared" si="8"/>
        <v>1</v>
      </c>
    </row>
    <row r="88" spans="1:7" ht="36" hidden="1" x14ac:dyDescent="0.2">
      <c r="A88" s="277" t="s">
        <v>166</v>
      </c>
      <c r="B88" s="242" t="s">
        <v>20</v>
      </c>
      <c r="C88" s="242" t="s">
        <v>181</v>
      </c>
      <c r="D88" s="242"/>
      <c r="E88" s="374">
        <f>E89</f>
        <v>0</v>
      </c>
      <c r="F88" s="389"/>
      <c r="G88" s="405" t="e">
        <f t="shared" si="8"/>
        <v>#DIV/0!</v>
      </c>
    </row>
    <row r="89" spans="1:7" ht="24" hidden="1" x14ac:dyDescent="0.2">
      <c r="A89" s="250" t="s">
        <v>262</v>
      </c>
      <c r="B89" s="242" t="s">
        <v>20</v>
      </c>
      <c r="C89" s="242" t="s">
        <v>181</v>
      </c>
      <c r="D89" s="242" t="s">
        <v>263</v>
      </c>
      <c r="E89" s="374"/>
      <c r="F89" s="389"/>
      <c r="G89" s="405" t="e">
        <f t="shared" si="8"/>
        <v>#DIV/0!</v>
      </c>
    </row>
    <row r="90" spans="1:7" ht="84" x14ac:dyDescent="0.2">
      <c r="A90" s="277" t="s">
        <v>443</v>
      </c>
      <c r="B90" s="273" t="s">
        <v>20</v>
      </c>
      <c r="C90" s="296" t="s">
        <v>530</v>
      </c>
      <c r="D90" s="273"/>
      <c r="E90" s="373">
        <f>E91</f>
        <v>5.3</v>
      </c>
      <c r="F90" s="373">
        <f>F91</f>
        <v>5.3</v>
      </c>
      <c r="G90" s="405">
        <f t="shared" si="8"/>
        <v>1</v>
      </c>
    </row>
    <row r="91" spans="1:7" ht="25.5" customHeight="1" x14ac:dyDescent="0.2">
      <c r="A91" s="328" t="s">
        <v>362</v>
      </c>
      <c r="B91" s="248" t="s">
        <v>20</v>
      </c>
      <c r="C91" s="248" t="s">
        <v>530</v>
      </c>
      <c r="D91" s="248" t="s">
        <v>361</v>
      </c>
      <c r="E91" s="375">
        <f>E92</f>
        <v>5.3</v>
      </c>
      <c r="F91" s="375">
        <f>F92</f>
        <v>5.3</v>
      </c>
      <c r="G91" s="405">
        <f t="shared" si="8"/>
        <v>1</v>
      </c>
    </row>
    <row r="92" spans="1:7" ht="27" customHeight="1" x14ac:dyDescent="0.2">
      <c r="A92" s="241" t="s">
        <v>328</v>
      </c>
      <c r="B92" s="248" t="s">
        <v>20</v>
      </c>
      <c r="C92" s="248" t="s">
        <v>530</v>
      </c>
      <c r="D92" s="248" t="s">
        <v>265</v>
      </c>
      <c r="E92" s="375">
        <f>'прил 4 вед 15.12'!G96</f>
        <v>5.3</v>
      </c>
      <c r="F92" s="375">
        <f>'прил 4 вед 15.12'!H96</f>
        <v>5.3</v>
      </c>
      <c r="G92" s="405">
        <f t="shared" si="8"/>
        <v>1</v>
      </c>
    </row>
    <row r="93" spans="1:7" ht="60" x14ac:dyDescent="0.2">
      <c r="A93" s="277" t="s">
        <v>444</v>
      </c>
      <c r="B93" s="273" t="s">
        <v>20</v>
      </c>
      <c r="C93" s="296" t="s">
        <v>531</v>
      </c>
      <c r="D93" s="273"/>
      <c r="E93" s="373">
        <f>E94</f>
        <v>21.2</v>
      </c>
      <c r="F93" s="373">
        <f>F94</f>
        <v>21.2</v>
      </c>
      <c r="G93" s="405">
        <f t="shared" si="8"/>
        <v>1</v>
      </c>
    </row>
    <row r="94" spans="1:7" ht="33" customHeight="1" x14ac:dyDescent="0.2">
      <c r="A94" s="328" t="s">
        <v>362</v>
      </c>
      <c r="B94" s="248" t="s">
        <v>20</v>
      </c>
      <c r="C94" s="248" t="s">
        <v>531</v>
      </c>
      <c r="D94" s="248" t="s">
        <v>361</v>
      </c>
      <c r="E94" s="375">
        <f>E95</f>
        <v>21.2</v>
      </c>
      <c r="F94" s="375">
        <f>F95</f>
        <v>21.2</v>
      </c>
      <c r="G94" s="405">
        <f t="shared" si="8"/>
        <v>1</v>
      </c>
    </row>
    <row r="95" spans="1:7" ht="25.5" customHeight="1" thickBot="1" x14ac:dyDescent="0.25">
      <c r="A95" s="241" t="s">
        <v>328</v>
      </c>
      <c r="B95" s="248" t="s">
        <v>20</v>
      </c>
      <c r="C95" s="248" t="s">
        <v>531</v>
      </c>
      <c r="D95" s="248" t="s">
        <v>265</v>
      </c>
      <c r="E95" s="375">
        <f>'прил 4 вед 15.12'!G99</f>
        <v>21.2</v>
      </c>
      <c r="F95" s="375">
        <f>'прил 4 вед 15.12'!H99</f>
        <v>21.2</v>
      </c>
      <c r="G95" s="405">
        <f t="shared" si="8"/>
        <v>1</v>
      </c>
    </row>
    <row r="96" spans="1:7" ht="13.5" thickBot="1" x14ac:dyDescent="0.25">
      <c r="A96" s="288" t="s">
        <v>335</v>
      </c>
      <c r="B96" s="285" t="s">
        <v>336</v>
      </c>
      <c r="C96" s="285"/>
      <c r="D96" s="285"/>
      <c r="E96" s="380">
        <f>E97+E101+E106</f>
        <v>25504.999999999996</v>
      </c>
      <c r="F96" s="380">
        <f>F97+F101+F106</f>
        <v>25181.899999999998</v>
      </c>
      <c r="G96" s="405">
        <f t="shared" si="8"/>
        <v>0.98733189570672419</v>
      </c>
    </row>
    <row r="97" spans="1:7" ht="24.75" thickBot="1" x14ac:dyDescent="0.25">
      <c r="A97" s="284" t="s">
        <v>441</v>
      </c>
      <c r="B97" s="285" t="s">
        <v>438</v>
      </c>
      <c r="C97" s="285"/>
      <c r="D97" s="285"/>
      <c r="E97" s="380">
        <f t="shared" ref="E97:F99" si="10">E98</f>
        <v>59.3</v>
      </c>
      <c r="F97" s="380">
        <f t="shared" si="10"/>
        <v>58.8</v>
      </c>
      <c r="G97" s="405">
        <f t="shared" si="8"/>
        <v>0.99156829679595282</v>
      </c>
    </row>
    <row r="98" spans="1:7" ht="27" customHeight="1" x14ac:dyDescent="0.2">
      <c r="A98" s="289" t="s">
        <v>619</v>
      </c>
      <c r="B98" s="272" t="s">
        <v>438</v>
      </c>
      <c r="C98" s="273" t="s">
        <v>534</v>
      </c>
      <c r="D98" s="272"/>
      <c r="E98" s="372">
        <f t="shared" si="10"/>
        <v>59.3</v>
      </c>
      <c r="F98" s="372">
        <f t="shared" si="10"/>
        <v>58.8</v>
      </c>
      <c r="G98" s="405">
        <f t="shared" si="8"/>
        <v>0.99156829679595282</v>
      </c>
    </row>
    <row r="99" spans="1:7" ht="26.25" customHeight="1" x14ac:dyDescent="0.2">
      <c r="A99" s="328" t="s">
        <v>440</v>
      </c>
      <c r="B99" s="242" t="s">
        <v>438</v>
      </c>
      <c r="C99" s="242" t="s">
        <v>534</v>
      </c>
      <c r="D99" s="242" t="s">
        <v>366</v>
      </c>
      <c r="E99" s="374">
        <f t="shared" si="10"/>
        <v>59.3</v>
      </c>
      <c r="F99" s="374">
        <f t="shared" si="10"/>
        <v>58.8</v>
      </c>
      <c r="G99" s="405">
        <f t="shared" si="8"/>
        <v>0.99156829679595282</v>
      </c>
    </row>
    <row r="100" spans="1:7" ht="35.25" customHeight="1" thickBot="1" x14ac:dyDescent="0.25">
      <c r="A100" s="241" t="s">
        <v>442</v>
      </c>
      <c r="B100" s="242" t="s">
        <v>438</v>
      </c>
      <c r="C100" s="242" t="s">
        <v>534</v>
      </c>
      <c r="D100" s="242" t="s">
        <v>439</v>
      </c>
      <c r="E100" s="374">
        <f>'прил 4 вед 15.12'!G104</f>
        <v>59.3</v>
      </c>
      <c r="F100" s="374">
        <f>'прил 4 вед 15.12'!H104</f>
        <v>58.8</v>
      </c>
      <c r="G100" s="405">
        <f t="shared" si="8"/>
        <v>0.99156829679595282</v>
      </c>
    </row>
    <row r="101" spans="1:7" ht="13.5" thickBot="1" x14ac:dyDescent="0.25">
      <c r="A101" s="284" t="s">
        <v>230</v>
      </c>
      <c r="B101" s="285" t="s">
        <v>229</v>
      </c>
      <c r="C101" s="285"/>
      <c r="D101" s="285"/>
      <c r="E101" s="380">
        <f>E102</f>
        <v>25389.699999999997</v>
      </c>
      <c r="F101" s="380">
        <f>F102</f>
        <v>25067.3</v>
      </c>
      <c r="G101" s="405">
        <f t="shared" si="8"/>
        <v>0.98730193739981187</v>
      </c>
    </row>
    <row r="102" spans="1:7" ht="24" x14ac:dyDescent="0.2">
      <c r="A102" s="289" t="s">
        <v>269</v>
      </c>
      <c r="B102" s="272" t="s">
        <v>229</v>
      </c>
      <c r="C102" s="273" t="s">
        <v>532</v>
      </c>
      <c r="D102" s="272"/>
      <c r="E102" s="372">
        <f>E104+E105</f>
        <v>25389.699999999997</v>
      </c>
      <c r="F102" s="372">
        <f>F104+F105</f>
        <v>25067.3</v>
      </c>
      <c r="G102" s="405">
        <f t="shared" si="8"/>
        <v>0.98730193739981187</v>
      </c>
    </row>
    <row r="103" spans="1:7" ht="60" x14ac:dyDescent="0.2">
      <c r="A103" s="328" t="s">
        <v>362</v>
      </c>
      <c r="B103" s="242" t="s">
        <v>229</v>
      </c>
      <c r="C103" s="242" t="s">
        <v>532</v>
      </c>
      <c r="D103" s="242" t="s">
        <v>361</v>
      </c>
      <c r="E103" s="374">
        <f>E104</f>
        <v>25389.699999999997</v>
      </c>
      <c r="F103" s="374">
        <f>F104</f>
        <v>25067.3</v>
      </c>
      <c r="G103" s="405">
        <f t="shared" si="8"/>
        <v>0.98730193739981187</v>
      </c>
    </row>
    <row r="104" spans="1:7" ht="36.75" thickBot="1" x14ac:dyDescent="0.25">
      <c r="A104" s="241" t="s">
        <v>328</v>
      </c>
      <c r="B104" s="242" t="s">
        <v>229</v>
      </c>
      <c r="C104" s="242" t="s">
        <v>532</v>
      </c>
      <c r="D104" s="242" t="s">
        <v>265</v>
      </c>
      <c r="E104" s="374">
        <f>'прил 4 вед 15.12'!G107</f>
        <v>25389.699999999997</v>
      </c>
      <c r="F104" s="374">
        <f>'прил 4 вед 15.12'!H107</f>
        <v>25067.3</v>
      </c>
      <c r="G104" s="405">
        <f t="shared" si="8"/>
        <v>0.98730193739981187</v>
      </c>
    </row>
    <row r="105" spans="1:7" ht="36.75" hidden="1" thickBot="1" x14ac:dyDescent="0.25">
      <c r="A105" s="291" t="s">
        <v>228</v>
      </c>
      <c r="B105" s="248" t="s">
        <v>229</v>
      </c>
      <c r="C105" s="248" t="s">
        <v>231</v>
      </c>
      <c r="D105" s="248" t="s">
        <v>224</v>
      </c>
      <c r="E105" s="375"/>
      <c r="F105" s="389"/>
      <c r="G105" s="405" t="e">
        <f t="shared" si="8"/>
        <v>#DIV/0!</v>
      </c>
    </row>
    <row r="106" spans="1:7" ht="24.75" thickBot="1" x14ac:dyDescent="0.25">
      <c r="A106" s="284" t="s">
        <v>491</v>
      </c>
      <c r="B106" s="285" t="s">
        <v>490</v>
      </c>
      <c r="C106" s="285"/>
      <c r="D106" s="285"/>
      <c r="E106" s="380">
        <f t="shared" ref="E106:F108" si="11">E107</f>
        <v>56</v>
      </c>
      <c r="F106" s="380">
        <f t="shared" si="11"/>
        <v>55.8</v>
      </c>
      <c r="G106" s="405">
        <f t="shared" si="8"/>
        <v>0.99642857142857133</v>
      </c>
    </row>
    <row r="107" spans="1:7" ht="24" x14ac:dyDescent="0.2">
      <c r="A107" s="289" t="s">
        <v>492</v>
      </c>
      <c r="B107" s="272" t="s">
        <v>490</v>
      </c>
      <c r="C107" s="273" t="s">
        <v>533</v>
      </c>
      <c r="D107" s="272"/>
      <c r="E107" s="372">
        <f t="shared" si="11"/>
        <v>56</v>
      </c>
      <c r="F107" s="372">
        <f t="shared" si="11"/>
        <v>55.8</v>
      </c>
      <c r="G107" s="405">
        <f t="shared" si="8"/>
        <v>0.99642857142857133</v>
      </c>
    </row>
    <row r="108" spans="1:7" ht="32.25" customHeight="1" x14ac:dyDescent="0.2">
      <c r="A108" s="328" t="s">
        <v>362</v>
      </c>
      <c r="B108" s="242" t="s">
        <v>490</v>
      </c>
      <c r="C108" s="242" t="s">
        <v>533</v>
      </c>
      <c r="D108" s="242" t="s">
        <v>361</v>
      </c>
      <c r="E108" s="374">
        <f t="shared" si="11"/>
        <v>56</v>
      </c>
      <c r="F108" s="374">
        <f t="shared" si="11"/>
        <v>55.8</v>
      </c>
      <c r="G108" s="405">
        <f t="shared" si="8"/>
        <v>0.99642857142857133</v>
      </c>
    </row>
    <row r="109" spans="1:7" ht="23.25" customHeight="1" thickBot="1" x14ac:dyDescent="0.25">
      <c r="A109" s="241" t="s">
        <v>328</v>
      </c>
      <c r="B109" s="242" t="s">
        <v>490</v>
      </c>
      <c r="C109" s="242" t="s">
        <v>533</v>
      </c>
      <c r="D109" s="242" t="s">
        <v>265</v>
      </c>
      <c r="E109" s="374">
        <f>'прил 4 вед 15.12'!G113</f>
        <v>56</v>
      </c>
      <c r="F109" s="374">
        <f>'прил 4 вед 15.12'!H113</f>
        <v>55.8</v>
      </c>
      <c r="G109" s="405">
        <f t="shared" si="8"/>
        <v>0.99642857142857133</v>
      </c>
    </row>
    <row r="110" spans="1:7" ht="13.5" thickBot="1" x14ac:dyDescent="0.25">
      <c r="A110" s="284" t="s">
        <v>30</v>
      </c>
      <c r="B110" s="285" t="s">
        <v>31</v>
      </c>
      <c r="C110" s="285"/>
      <c r="D110" s="285"/>
      <c r="E110" s="380">
        <f>E118</f>
        <v>42645</v>
      </c>
      <c r="F110" s="380">
        <f>F118</f>
        <v>41175.5</v>
      </c>
      <c r="G110" s="405">
        <f t="shared" si="8"/>
        <v>0.96554109508734909</v>
      </c>
    </row>
    <row r="111" spans="1:7" ht="24.75" hidden="1" thickBot="1" x14ac:dyDescent="0.25">
      <c r="A111" s="292" t="s">
        <v>270</v>
      </c>
      <c r="B111" s="285" t="s">
        <v>77</v>
      </c>
      <c r="C111" s="285" t="s">
        <v>184</v>
      </c>
      <c r="D111" s="285"/>
      <c r="E111" s="380">
        <f>E112+E114+E116</f>
        <v>0</v>
      </c>
      <c r="F111" s="389"/>
      <c r="G111" s="405" t="e">
        <f t="shared" si="8"/>
        <v>#DIV/0!</v>
      </c>
    </row>
    <row r="112" spans="1:7" ht="36.75" hidden="1" thickBot="1" x14ac:dyDescent="0.25">
      <c r="A112" s="294" t="s">
        <v>271</v>
      </c>
      <c r="B112" s="247" t="s">
        <v>77</v>
      </c>
      <c r="C112" s="247" t="s">
        <v>188</v>
      </c>
      <c r="D112" s="247"/>
      <c r="E112" s="374"/>
      <c r="F112" s="389"/>
      <c r="G112" s="405" t="e">
        <f t="shared" si="8"/>
        <v>#DIV/0!</v>
      </c>
    </row>
    <row r="113" spans="1:7" ht="24.75" hidden="1" thickBot="1" x14ac:dyDescent="0.25">
      <c r="A113" s="250" t="s">
        <v>262</v>
      </c>
      <c r="B113" s="242" t="s">
        <v>77</v>
      </c>
      <c r="C113" s="242" t="s">
        <v>188</v>
      </c>
      <c r="D113" s="242" t="s">
        <v>263</v>
      </c>
      <c r="E113" s="374">
        <f>E114</f>
        <v>0</v>
      </c>
      <c r="F113" s="389"/>
      <c r="G113" s="405" t="e">
        <f t="shared" si="8"/>
        <v>#DIV/0!</v>
      </c>
    </row>
    <row r="114" spans="1:7" ht="13.5" hidden="1" thickBot="1" x14ac:dyDescent="0.25">
      <c r="A114" s="295" t="s">
        <v>273</v>
      </c>
      <c r="B114" s="242" t="s">
        <v>274</v>
      </c>
      <c r="C114" s="242" t="s">
        <v>275</v>
      </c>
      <c r="D114" s="242"/>
      <c r="E114" s="374">
        <f>E115</f>
        <v>0</v>
      </c>
      <c r="F114" s="389"/>
      <c r="G114" s="405" t="e">
        <f t="shared" si="8"/>
        <v>#DIV/0!</v>
      </c>
    </row>
    <row r="115" spans="1:7" ht="24.75" hidden="1" thickBot="1" x14ac:dyDescent="0.25">
      <c r="A115" s="295" t="s">
        <v>262</v>
      </c>
      <c r="B115" s="242" t="s">
        <v>274</v>
      </c>
      <c r="C115" s="242" t="s">
        <v>275</v>
      </c>
      <c r="D115" s="242" t="s">
        <v>263</v>
      </c>
      <c r="E115" s="374">
        <f>E116</f>
        <v>0</v>
      </c>
      <c r="F115" s="389"/>
      <c r="G115" s="405" t="e">
        <f t="shared" si="8"/>
        <v>#DIV/0!</v>
      </c>
    </row>
    <row r="116" spans="1:7" ht="48.75" hidden="1" thickBot="1" x14ac:dyDescent="0.25">
      <c r="A116" s="295" t="s">
        <v>278</v>
      </c>
      <c r="B116" s="242" t="s">
        <v>274</v>
      </c>
      <c r="C116" s="242" t="s">
        <v>279</v>
      </c>
      <c r="D116" s="242"/>
      <c r="E116" s="374">
        <f>E117</f>
        <v>0</v>
      </c>
      <c r="F116" s="389"/>
      <c r="G116" s="405" t="e">
        <f t="shared" si="8"/>
        <v>#DIV/0!</v>
      </c>
    </row>
    <row r="117" spans="1:7" ht="24.75" hidden="1" thickBot="1" x14ac:dyDescent="0.25">
      <c r="A117" s="291" t="s">
        <v>262</v>
      </c>
      <c r="B117" s="248" t="s">
        <v>274</v>
      </c>
      <c r="C117" s="248" t="s">
        <v>279</v>
      </c>
      <c r="D117" s="248" t="s">
        <v>263</v>
      </c>
      <c r="E117" s="375"/>
      <c r="F117" s="389"/>
      <c r="G117" s="405" t="e">
        <f t="shared" si="8"/>
        <v>#DIV/0!</v>
      </c>
    </row>
    <row r="118" spans="1:7" ht="13.5" thickBot="1" x14ac:dyDescent="0.25">
      <c r="A118" s="297" t="s">
        <v>344</v>
      </c>
      <c r="B118" s="285" t="s">
        <v>77</v>
      </c>
      <c r="C118" s="285"/>
      <c r="D118" s="285"/>
      <c r="E118" s="380">
        <f>E120+E123+E136+E146</f>
        <v>42645</v>
      </c>
      <c r="F118" s="380">
        <f>F120+F123+F136+F146</f>
        <v>41175.5</v>
      </c>
      <c r="G118" s="405">
        <f t="shared" si="8"/>
        <v>0.96554109508734909</v>
      </c>
    </row>
    <row r="119" spans="1:7" ht="24.75" thickBot="1" x14ac:dyDescent="0.25">
      <c r="A119" s="292" t="s">
        <v>446</v>
      </c>
      <c r="B119" s="285" t="s">
        <v>77</v>
      </c>
      <c r="C119" s="285" t="s">
        <v>535</v>
      </c>
      <c r="D119" s="285"/>
      <c r="E119" s="380">
        <f t="shared" ref="E119:F121" si="12">E120</f>
        <v>2855.7</v>
      </c>
      <c r="F119" s="380">
        <f t="shared" si="12"/>
        <v>2854.7</v>
      </c>
      <c r="G119" s="405">
        <f t="shared" si="8"/>
        <v>0.99964982316069617</v>
      </c>
    </row>
    <row r="120" spans="1:7" ht="36" x14ac:dyDescent="0.2">
      <c r="A120" s="319" t="s">
        <v>271</v>
      </c>
      <c r="B120" s="272" t="s">
        <v>77</v>
      </c>
      <c r="C120" s="320" t="s">
        <v>536</v>
      </c>
      <c r="D120" s="272"/>
      <c r="E120" s="373">
        <f t="shared" si="12"/>
        <v>2855.7</v>
      </c>
      <c r="F120" s="373">
        <f t="shared" si="12"/>
        <v>2854.7</v>
      </c>
      <c r="G120" s="405">
        <f t="shared" si="8"/>
        <v>0.99964982316069617</v>
      </c>
    </row>
    <row r="121" spans="1:7" ht="21" customHeight="1" x14ac:dyDescent="0.2">
      <c r="A121" s="328" t="s">
        <v>362</v>
      </c>
      <c r="B121" s="242" t="s">
        <v>77</v>
      </c>
      <c r="C121" s="242" t="s">
        <v>536</v>
      </c>
      <c r="D121" s="242" t="s">
        <v>361</v>
      </c>
      <c r="E121" s="374">
        <f t="shared" si="12"/>
        <v>2855.7</v>
      </c>
      <c r="F121" s="374">
        <f t="shared" si="12"/>
        <v>2854.7</v>
      </c>
      <c r="G121" s="405">
        <f t="shared" si="8"/>
        <v>0.99964982316069617</v>
      </c>
    </row>
    <row r="122" spans="1:7" ht="27.75" customHeight="1" thickBot="1" x14ac:dyDescent="0.25">
      <c r="A122" s="241" t="s">
        <v>328</v>
      </c>
      <c r="B122" s="242" t="s">
        <v>77</v>
      </c>
      <c r="C122" s="242" t="s">
        <v>536</v>
      </c>
      <c r="D122" s="242" t="s">
        <v>265</v>
      </c>
      <c r="E122" s="374">
        <f>'прил 4 вед 15.12'!G126</f>
        <v>2855.7</v>
      </c>
      <c r="F122" s="374">
        <f>'прил 4 вед 15.12'!H126</f>
        <v>2854.7</v>
      </c>
      <c r="G122" s="405">
        <f t="shared" si="8"/>
        <v>0.99964982316069617</v>
      </c>
    </row>
    <row r="123" spans="1:7" ht="36.75" thickBot="1" x14ac:dyDescent="0.25">
      <c r="A123" s="292" t="s">
        <v>281</v>
      </c>
      <c r="B123" s="285" t="s">
        <v>77</v>
      </c>
      <c r="C123" s="285" t="s">
        <v>537</v>
      </c>
      <c r="D123" s="285"/>
      <c r="E123" s="380">
        <f>E127++E130+E133+E124</f>
        <v>11297</v>
      </c>
      <c r="F123" s="380">
        <f>F127++F130+F133+F124</f>
        <v>11269.4</v>
      </c>
      <c r="G123" s="405">
        <f t="shared" si="8"/>
        <v>0.99755687350624056</v>
      </c>
    </row>
    <row r="124" spans="1:7" ht="24" hidden="1" x14ac:dyDescent="0.2">
      <c r="A124" s="330" t="s">
        <v>497</v>
      </c>
      <c r="B124" s="331" t="s">
        <v>77</v>
      </c>
      <c r="C124" s="331" t="s">
        <v>496</v>
      </c>
      <c r="D124" s="331"/>
      <c r="E124" s="381">
        <f>E125</f>
        <v>0</v>
      </c>
      <c r="F124" s="389"/>
      <c r="G124" s="405" t="e">
        <f t="shared" si="8"/>
        <v>#DIV/0!</v>
      </c>
    </row>
    <row r="125" spans="1:7" ht="60" hidden="1" x14ac:dyDescent="0.2">
      <c r="A125" s="328" t="s">
        <v>362</v>
      </c>
      <c r="B125" s="329" t="s">
        <v>77</v>
      </c>
      <c r="C125" s="331" t="s">
        <v>496</v>
      </c>
      <c r="D125" s="329" t="s">
        <v>361</v>
      </c>
      <c r="E125" s="374">
        <f>E126</f>
        <v>0</v>
      </c>
      <c r="F125" s="389"/>
      <c r="G125" s="405" t="e">
        <f t="shared" si="8"/>
        <v>#DIV/0!</v>
      </c>
    </row>
    <row r="126" spans="1:7" ht="36" hidden="1" x14ac:dyDescent="0.2">
      <c r="A126" s="241" t="s">
        <v>328</v>
      </c>
      <c r="B126" s="329" t="s">
        <v>77</v>
      </c>
      <c r="C126" s="332" t="s">
        <v>496</v>
      </c>
      <c r="D126" s="329" t="s">
        <v>265</v>
      </c>
      <c r="E126" s="374">
        <v>0</v>
      </c>
      <c r="F126" s="389"/>
      <c r="G126" s="405" t="e">
        <f t="shared" si="8"/>
        <v>#DIV/0!</v>
      </c>
    </row>
    <row r="127" spans="1:7" x14ac:dyDescent="0.2">
      <c r="A127" s="333" t="s">
        <v>282</v>
      </c>
      <c r="B127" s="326" t="s">
        <v>77</v>
      </c>
      <c r="C127" s="273" t="s">
        <v>538</v>
      </c>
      <c r="D127" s="326"/>
      <c r="E127" s="382">
        <f>E128</f>
        <v>500</v>
      </c>
      <c r="F127" s="382">
        <f>F128</f>
        <v>500</v>
      </c>
      <c r="G127" s="405">
        <f t="shared" si="8"/>
        <v>1</v>
      </c>
    </row>
    <row r="128" spans="1:7" ht="27.75" customHeight="1" x14ac:dyDescent="0.2">
      <c r="A128" s="328" t="s">
        <v>362</v>
      </c>
      <c r="B128" s="329" t="s">
        <v>77</v>
      </c>
      <c r="C128" s="242" t="s">
        <v>538</v>
      </c>
      <c r="D128" s="329" t="s">
        <v>361</v>
      </c>
      <c r="E128" s="374">
        <f>E129</f>
        <v>500</v>
      </c>
      <c r="F128" s="374">
        <f>F129</f>
        <v>500</v>
      </c>
      <c r="G128" s="405">
        <f t="shared" si="8"/>
        <v>1</v>
      </c>
    </row>
    <row r="129" spans="1:7" ht="29.25" customHeight="1" x14ac:dyDescent="0.2">
      <c r="A129" s="241" t="s">
        <v>328</v>
      </c>
      <c r="B129" s="329" t="s">
        <v>77</v>
      </c>
      <c r="C129" s="247" t="s">
        <v>538</v>
      </c>
      <c r="D129" s="329" t="s">
        <v>265</v>
      </c>
      <c r="E129" s="374">
        <f>'прил 4 вед 15.12'!G133</f>
        <v>500</v>
      </c>
      <c r="F129" s="374">
        <f>'прил 4 вед 15.12'!H133</f>
        <v>500</v>
      </c>
      <c r="G129" s="405">
        <f t="shared" si="8"/>
        <v>1</v>
      </c>
    </row>
    <row r="130" spans="1:7" ht="24" x14ac:dyDescent="0.2">
      <c r="A130" s="334" t="s">
        <v>78</v>
      </c>
      <c r="B130" s="326" t="s">
        <v>77</v>
      </c>
      <c r="C130" s="272" t="s">
        <v>539</v>
      </c>
      <c r="D130" s="326"/>
      <c r="E130" s="382">
        <f>E131</f>
        <v>3159.5</v>
      </c>
      <c r="F130" s="382">
        <f>F131</f>
        <v>3132</v>
      </c>
      <c r="G130" s="405">
        <f t="shared" si="8"/>
        <v>0.99129609115366357</v>
      </c>
    </row>
    <row r="131" spans="1:7" ht="24" customHeight="1" x14ac:dyDescent="0.2">
      <c r="A131" s="328" t="s">
        <v>362</v>
      </c>
      <c r="B131" s="329" t="s">
        <v>77</v>
      </c>
      <c r="C131" s="247" t="s">
        <v>539</v>
      </c>
      <c r="D131" s="329" t="s">
        <v>361</v>
      </c>
      <c r="E131" s="383">
        <f>E132</f>
        <v>3159.5</v>
      </c>
      <c r="F131" s="383">
        <f>F132</f>
        <v>3132</v>
      </c>
      <c r="G131" s="405">
        <f t="shared" ref="G131:G194" si="13">F131/E131</f>
        <v>0.99129609115366357</v>
      </c>
    </row>
    <row r="132" spans="1:7" ht="27.75" customHeight="1" x14ac:dyDescent="0.2">
      <c r="A132" s="241" t="s">
        <v>328</v>
      </c>
      <c r="B132" s="329" t="s">
        <v>77</v>
      </c>
      <c r="C132" s="247" t="s">
        <v>539</v>
      </c>
      <c r="D132" s="329" t="s">
        <v>265</v>
      </c>
      <c r="E132" s="383">
        <f>'прил 4 вед 15.12'!G136</f>
        <v>3159.5</v>
      </c>
      <c r="F132" s="383">
        <f>'прил 4 вед 15.12'!H136</f>
        <v>3132</v>
      </c>
      <c r="G132" s="405">
        <f t="shared" si="13"/>
        <v>0.99129609115366357</v>
      </c>
    </row>
    <row r="133" spans="1:7" x14ac:dyDescent="0.2">
      <c r="A133" s="335" t="s">
        <v>283</v>
      </c>
      <c r="B133" s="326" t="s">
        <v>77</v>
      </c>
      <c r="C133" s="272" t="s">
        <v>540</v>
      </c>
      <c r="D133" s="326"/>
      <c r="E133" s="382">
        <f>E135</f>
        <v>7637.5</v>
      </c>
      <c r="F133" s="382">
        <f>F135</f>
        <v>7637.4</v>
      </c>
      <c r="G133" s="405">
        <f t="shared" si="13"/>
        <v>0.99998690671031087</v>
      </c>
    </row>
    <row r="134" spans="1:7" ht="18.75" customHeight="1" x14ac:dyDescent="0.2">
      <c r="A134" s="328" t="s">
        <v>362</v>
      </c>
      <c r="B134" s="336" t="s">
        <v>77</v>
      </c>
      <c r="C134" s="247" t="s">
        <v>540</v>
      </c>
      <c r="D134" s="329" t="s">
        <v>361</v>
      </c>
      <c r="E134" s="374">
        <f>E135</f>
        <v>7637.5</v>
      </c>
      <c r="F134" s="374">
        <f>F135</f>
        <v>7637.4</v>
      </c>
      <c r="G134" s="405">
        <f t="shared" si="13"/>
        <v>0.99998690671031087</v>
      </c>
    </row>
    <row r="135" spans="1:7" ht="25.5" customHeight="1" thickBot="1" x14ac:dyDescent="0.25">
      <c r="A135" s="241" t="s">
        <v>328</v>
      </c>
      <c r="B135" s="336" t="s">
        <v>77</v>
      </c>
      <c r="C135" s="308" t="s">
        <v>540</v>
      </c>
      <c r="D135" s="329" t="s">
        <v>265</v>
      </c>
      <c r="E135" s="374">
        <f>'прил 4 вед 15.12'!G139</f>
        <v>7637.5</v>
      </c>
      <c r="F135" s="374">
        <f>'прил 4 вед 15.12'!H139</f>
        <v>7637.4</v>
      </c>
      <c r="G135" s="405">
        <f t="shared" si="13"/>
        <v>0.99998690671031087</v>
      </c>
    </row>
    <row r="136" spans="1:7" x14ac:dyDescent="0.2">
      <c r="A136" s="314" t="s">
        <v>284</v>
      </c>
      <c r="B136" s="316" t="s">
        <v>77</v>
      </c>
      <c r="C136" s="317" t="s">
        <v>544</v>
      </c>
      <c r="D136" s="318"/>
      <c r="E136" s="384">
        <f>E137+E140+E143</f>
        <v>6585.7</v>
      </c>
      <c r="F136" s="384">
        <f>F137+F140+F143</f>
        <v>6417.1</v>
      </c>
      <c r="G136" s="405">
        <f t="shared" si="13"/>
        <v>0.97439907678758531</v>
      </c>
    </row>
    <row r="137" spans="1:7" ht="24" x14ac:dyDescent="0.2">
      <c r="A137" s="337" t="s">
        <v>285</v>
      </c>
      <c r="B137" s="326" t="s">
        <v>77</v>
      </c>
      <c r="C137" s="273" t="s">
        <v>541</v>
      </c>
      <c r="D137" s="326"/>
      <c r="E137" s="382">
        <f t="shared" ref="E137:F137" si="14">E139</f>
        <v>3362.5</v>
      </c>
      <c r="F137" s="382">
        <f t="shared" si="14"/>
        <v>3250.1</v>
      </c>
      <c r="G137" s="405">
        <f t="shared" si="13"/>
        <v>0.96657249070631968</v>
      </c>
    </row>
    <row r="138" spans="1:7" ht="33" customHeight="1" x14ac:dyDescent="0.2">
      <c r="A138" s="328" t="s">
        <v>362</v>
      </c>
      <c r="B138" s="331" t="s">
        <v>77</v>
      </c>
      <c r="C138" s="247" t="s">
        <v>541</v>
      </c>
      <c r="D138" s="331" t="s">
        <v>361</v>
      </c>
      <c r="E138" s="374">
        <f>E139</f>
        <v>3362.5</v>
      </c>
      <c r="F138" s="374">
        <f>F139</f>
        <v>3250.1</v>
      </c>
      <c r="G138" s="405">
        <f t="shared" si="13"/>
        <v>0.96657249070631968</v>
      </c>
    </row>
    <row r="139" spans="1:7" ht="24.75" customHeight="1" x14ac:dyDescent="0.2">
      <c r="A139" s="241" t="s">
        <v>328</v>
      </c>
      <c r="B139" s="331" t="s">
        <v>77</v>
      </c>
      <c r="C139" s="247" t="s">
        <v>541</v>
      </c>
      <c r="D139" s="331" t="s">
        <v>265</v>
      </c>
      <c r="E139" s="374">
        <f>'прил 4 вед 15.12'!G143</f>
        <v>3362.5</v>
      </c>
      <c r="F139" s="374">
        <f>'прил 4 вед 15.12'!H143</f>
        <v>3250.1</v>
      </c>
      <c r="G139" s="405">
        <f t="shared" si="13"/>
        <v>0.96657249070631968</v>
      </c>
    </row>
    <row r="140" spans="1:7" ht="24" x14ac:dyDescent="0.2">
      <c r="A140" s="338" t="s">
        <v>447</v>
      </c>
      <c r="B140" s="339" t="s">
        <v>77</v>
      </c>
      <c r="C140" s="272" t="s">
        <v>542</v>
      </c>
      <c r="D140" s="339"/>
      <c r="E140" s="385">
        <f>E142</f>
        <v>3173.2</v>
      </c>
      <c r="F140" s="385">
        <f>F142</f>
        <v>3117</v>
      </c>
      <c r="G140" s="405">
        <f t="shared" si="13"/>
        <v>0.98228917181394182</v>
      </c>
    </row>
    <row r="141" spans="1:7" ht="22.5" customHeight="1" x14ac:dyDescent="0.2">
      <c r="A141" s="328" t="s">
        <v>362</v>
      </c>
      <c r="B141" s="336" t="s">
        <v>77</v>
      </c>
      <c r="C141" s="247" t="s">
        <v>542</v>
      </c>
      <c r="D141" s="336" t="s">
        <v>361</v>
      </c>
      <c r="E141" s="374">
        <f>E142</f>
        <v>3173.2</v>
      </c>
      <c r="F141" s="374">
        <f>F142</f>
        <v>3117</v>
      </c>
      <c r="G141" s="405">
        <f t="shared" si="13"/>
        <v>0.98228917181394182</v>
      </c>
    </row>
    <row r="142" spans="1:7" ht="27.75" customHeight="1" x14ac:dyDescent="0.2">
      <c r="A142" s="241" t="s">
        <v>328</v>
      </c>
      <c r="B142" s="336" t="s">
        <v>77</v>
      </c>
      <c r="C142" s="247" t="s">
        <v>542</v>
      </c>
      <c r="D142" s="336" t="s">
        <v>265</v>
      </c>
      <c r="E142" s="374">
        <f>'прил 4 вед 15.12'!G146</f>
        <v>3173.2</v>
      </c>
      <c r="F142" s="374">
        <f>'прил 4 вед 15.12'!H146</f>
        <v>3117</v>
      </c>
      <c r="G142" s="405">
        <f t="shared" si="13"/>
        <v>0.98228917181394182</v>
      </c>
    </row>
    <row r="143" spans="1:7" ht="36" x14ac:dyDescent="0.2">
      <c r="A143" s="338" t="s">
        <v>511</v>
      </c>
      <c r="B143" s="339" t="s">
        <v>77</v>
      </c>
      <c r="C143" s="272" t="s">
        <v>543</v>
      </c>
      <c r="D143" s="339"/>
      <c r="E143" s="385">
        <f>E145</f>
        <v>50</v>
      </c>
      <c r="F143" s="385">
        <f>F145</f>
        <v>50</v>
      </c>
      <c r="G143" s="405">
        <f t="shared" si="13"/>
        <v>1</v>
      </c>
    </row>
    <row r="144" spans="1:7" ht="31.5" customHeight="1" x14ac:dyDescent="0.2">
      <c r="A144" s="328" t="s">
        <v>362</v>
      </c>
      <c r="B144" s="336" t="s">
        <v>77</v>
      </c>
      <c r="C144" s="247" t="s">
        <v>543</v>
      </c>
      <c r="D144" s="336" t="s">
        <v>361</v>
      </c>
      <c r="E144" s="374">
        <f>E145</f>
        <v>50</v>
      </c>
      <c r="F144" s="374">
        <f>F145</f>
        <v>50</v>
      </c>
      <c r="G144" s="405">
        <f t="shared" si="13"/>
        <v>1</v>
      </c>
    </row>
    <row r="145" spans="1:7" ht="27" customHeight="1" thickBot="1" x14ac:dyDescent="0.25">
      <c r="A145" s="241" t="s">
        <v>328</v>
      </c>
      <c r="B145" s="336" t="s">
        <v>77</v>
      </c>
      <c r="C145" s="308" t="s">
        <v>543</v>
      </c>
      <c r="D145" s="336" t="s">
        <v>265</v>
      </c>
      <c r="E145" s="374">
        <f>'прил 4 вед 15.12'!G149</f>
        <v>50</v>
      </c>
      <c r="F145" s="374">
        <f>'прил 4 вед 15.12'!H149</f>
        <v>50</v>
      </c>
      <c r="G145" s="405">
        <f t="shared" si="13"/>
        <v>1</v>
      </c>
    </row>
    <row r="146" spans="1:7" x14ac:dyDescent="0.2">
      <c r="A146" s="314" t="s">
        <v>286</v>
      </c>
      <c r="B146" s="315" t="s">
        <v>77</v>
      </c>
      <c r="C146" s="317" t="s">
        <v>549</v>
      </c>
      <c r="D146" s="315"/>
      <c r="E146" s="384">
        <f>E147+E150+E153+E156</f>
        <v>21906.600000000002</v>
      </c>
      <c r="F146" s="384">
        <f>F147+F150+F153+F156</f>
        <v>20634.300000000003</v>
      </c>
      <c r="G146" s="405">
        <f t="shared" si="13"/>
        <v>0.94192161266467644</v>
      </c>
    </row>
    <row r="147" spans="1:7" ht="24" x14ac:dyDescent="0.2">
      <c r="A147" s="337" t="s">
        <v>448</v>
      </c>
      <c r="B147" s="326" t="s">
        <v>77</v>
      </c>
      <c r="C147" s="273" t="s">
        <v>545</v>
      </c>
      <c r="D147" s="326"/>
      <c r="E147" s="373">
        <f>E149</f>
        <v>19282.7</v>
      </c>
      <c r="F147" s="373">
        <f>F149</f>
        <v>18212.900000000001</v>
      </c>
      <c r="G147" s="405">
        <f t="shared" si="13"/>
        <v>0.94452021760438121</v>
      </c>
    </row>
    <row r="148" spans="1:7" ht="28.5" customHeight="1" x14ac:dyDescent="0.2">
      <c r="A148" s="328" t="s">
        <v>362</v>
      </c>
      <c r="B148" s="329" t="s">
        <v>77</v>
      </c>
      <c r="C148" s="247" t="s">
        <v>545</v>
      </c>
      <c r="D148" s="329" t="s">
        <v>361</v>
      </c>
      <c r="E148" s="374">
        <f>E149</f>
        <v>19282.7</v>
      </c>
      <c r="F148" s="374">
        <f>F149</f>
        <v>18212.900000000001</v>
      </c>
      <c r="G148" s="405">
        <f t="shared" si="13"/>
        <v>0.94452021760438121</v>
      </c>
    </row>
    <row r="149" spans="1:7" ht="28.5" customHeight="1" x14ac:dyDescent="0.2">
      <c r="A149" s="241" t="s">
        <v>328</v>
      </c>
      <c r="B149" s="329" t="s">
        <v>77</v>
      </c>
      <c r="C149" s="247" t="s">
        <v>545</v>
      </c>
      <c r="D149" s="329" t="s">
        <v>265</v>
      </c>
      <c r="E149" s="374">
        <f>'прил 4 вед 15.12'!G153</f>
        <v>19282.7</v>
      </c>
      <c r="F149" s="374">
        <f>'прил 4 вед 15.12'!H153</f>
        <v>18212.900000000001</v>
      </c>
      <c r="G149" s="405">
        <f t="shared" si="13"/>
        <v>0.94452021760438121</v>
      </c>
    </row>
    <row r="150" spans="1:7" ht="24" x14ac:dyDescent="0.2">
      <c r="A150" s="337" t="s">
        <v>449</v>
      </c>
      <c r="B150" s="326" t="s">
        <v>77</v>
      </c>
      <c r="C150" s="272" t="s">
        <v>546</v>
      </c>
      <c r="D150" s="326"/>
      <c r="E150" s="373">
        <f>E152</f>
        <v>1453</v>
      </c>
      <c r="F150" s="373">
        <f>F152</f>
        <v>1324.2</v>
      </c>
      <c r="G150" s="405">
        <f t="shared" si="13"/>
        <v>0.91135581555402623</v>
      </c>
    </row>
    <row r="151" spans="1:7" ht="30.75" customHeight="1" x14ac:dyDescent="0.2">
      <c r="A151" s="328" t="s">
        <v>362</v>
      </c>
      <c r="B151" s="329" t="s">
        <v>77</v>
      </c>
      <c r="C151" s="247" t="s">
        <v>546</v>
      </c>
      <c r="D151" s="329" t="s">
        <v>361</v>
      </c>
      <c r="E151" s="374">
        <f>E152</f>
        <v>1453</v>
      </c>
      <c r="F151" s="374">
        <f>F152</f>
        <v>1324.2</v>
      </c>
      <c r="G151" s="405">
        <f t="shared" si="13"/>
        <v>0.91135581555402623</v>
      </c>
    </row>
    <row r="152" spans="1:7" ht="25.5" customHeight="1" x14ac:dyDescent="0.2">
      <c r="A152" s="241" t="s">
        <v>328</v>
      </c>
      <c r="B152" s="329" t="s">
        <v>77</v>
      </c>
      <c r="C152" s="247" t="s">
        <v>546</v>
      </c>
      <c r="D152" s="329" t="s">
        <v>265</v>
      </c>
      <c r="E152" s="374">
        <f>'прил 4 вед 15.12'!G156</f>
        <v>1453</v>
      </c>
      <c r="F152" s="374">
        <f>'прил 4 вед 15.12'!H156</f>
        <v>1324.2</v>
      </c>
      <c r="G152" s="405">
        <f t="shared" si="13"/>
        <v>0.91135581555402623</v>
      </c>
    </row>
    <row r="153" spans="1:7" ht="24" x14ac:dyDescent="0.2">
      <c r="A153" s="337" t="s">
        <v>79</v>
      </c>
      <c r="B153" s="326" t="s">
        <v>77</v>
      </c>
      <c r="C153" s="272" t="s">
        <v>547</v>
      </c>
      <c r="D153" s="326"/>
      <c r="E153" s="373">
        <f>E155</f>
        <v>1152</v>
      </c>
      <c r="F153" s="373">
        <f>F155</f>
        <v>1079.2</v>
      </c>
      <c r="G153" s="405">
        <f t="shared" si="13"/>
        <v>0.93680555555555556</v>
      </c>
    </row>
    <row r="154" spans="1:7" ht="22.5" customHeight="1" x14ac:dyDescent="0.2">
      <c r="A154" s="328" t="s">
        <v>362</v>
      </c>
      <c r="B154" s="336" t="s">
        <v>77</v>
      </c>
      <c r="C154" s="247" t="s">
        <v>547</v>
      </c>
      <c r="D154" s="329" t="s">
        <v>361</v>
      </c>
      <c r="E154" s="375">
        <f>E155</f>
        <v>1152</v>
      </c>
      <c r="F154" s="375">
        <f>F155</f>
        <v>1079.2</v>
      </c>
      <c r="G154" s="405">
        <f t="shared" si="13"/>
        <v>0.93680555555555556</v>
      </c>
    </row>
    <row r="155" spans="1:7" ht="24" customHeight="1" x14ac:dyDescent="0.2">
      <c r="A155" s="241" t="s">
        <v>328</v>
      </c>
      <c r="B155" s="336" t="s">
        <v>77</v>
      </c>
      <c r="C155" s="247" t="s">
        <v>547</v>
      </c>
      <c r="D155" s="329" t="s">
        <v>265</v>
      </c>
      <c r="E155" s="375">
        <f>'прил 4 вед 15.12'!G159</f>
        <v>1152</v>
      </c>
      <c r="F155" s="375">
        <f>'прил 4 вед 15.12'!H159</f>
        <v>1079.2</v>
      </c>
      <c r="G155" s="405">
        <f t="shared" si="13"/>
        <v>0.93680555555555556</v>
      </c>
    </row>
    <row r="156" spans="1:7" ht="49.5" customHeight="1" x14ac:dyDescent="0.2">
      <c r="A156" s="337" t="s">
        <v>494</v>
      </c>
      <c r="B156" s="326" t="s">
        <v>77</v>
      </c>
      <c r="C156" s="272" t="s">
        <v>548</v>
      </c>
      <c r="D156" s="326"/>
      <c r="E156" s="373">
        <f>E158</f>
        <v>18.899999999999999</v>
      </c>
      <c r="F156" s="373">
        <f>F158</f>
        <v>18</v>
      </c>
      <c r="G156" s="405">
        <f t="shared" si="13"/>
        <v>0.95238095238095244</v>
      </c>
    </row>
    <row r="157" spans="1:7" ht="24.75" customHeight="1" x14ac:dyDescent="0.2">
      <c r="A157" s="328" t="s">
        <v>362</v>
      </c>
      <c r="B157" s="336" t="s">
        <v>77</v>
      </c>
      <c r="C157" s="247" t="s">
        <v>548</v>
      </c>
      <c r="D157" s="329" t="s">
        <v>361</v>
      </c>
      <c r="E157" s="375">
        <f>E158</f>
        <v>18.899999999999999</v>
      </c>
      <c r="F157" s="375">
        <f>F158</f>
        <v>18</v>
      </c>
      <c r="G157" s="405">
        <f t="shared" si="13"/>
        <v>0.95238095238095244</v>
      </c>
    </row>
    <row r="158" spans="1:7" ht="26.25" customHeight="1" thickBot="1" x14ac:dyDescent="0.25">
      <c r="A158" s="241" t="s">
        <v>328</v>
      </c>
      <c r="B158" s="336" t="s">
        <v>77</v>
      </c>
      <c r="C158" s="247" t="s">
        <v>548</v>
      </c>
      <c r="D158" s="329" t="s">
        <v>265</v>
      </c>
      <c r="E158" s="375">
        <f>'прил 4 вед 15.12'!G162</f>
        <v>18.899999999999999</v>
      </c>
      <c r="F158" s="375">
        <f>'прил 4 вед 15.12'!H162</f>
        <v>18</v>
      </c>
      <c r="G158" s="405">
        <f t="shared" si="13"/>
        <v>0.95238095238095244</v>
      </c>
    </row>
    <row r="159" spans="1:7" ht="13.5" thickBot="1" x14ac:dyDescent="0.25">
      <c r="A159" s="284" t="s">
        <v>32</v>
      </c>
      <c r="B159" s="285" t="s">
        <v>21</v>
      </c>
      <c r="C159" s="285"/>
      <c r="D159" s="285"/>
      <c r="E159" s="380">
        <f>E164+E160</f>
        <v>638</v>
      </c>
      <c r="F159" s="380">
        <f>F164+F160</f>
        <v>637.4</v>
      </c>
      <c r="G159" s="405">
        <f t="shared" si="13"/>
        <v>0.99905956112852656</v>
      </c>
    </row>
    <row r="160" spans="1:7" ht="36" x14ac:dyDescent="0.2">
      <c r="A160" s="287" t="s">
        <v>349</v>
      </c>
      <c r="B160" s="272" t="s">
        <v>348</v>
      </c>
      <c r="C160" s="272"/>
      <c r="D160" s="272"/>
      <c r="E160" s="372">
        <f>E161</f>
        <v>75</v>
      </c>
      <c r="F160" s="372">
        <f>F161</f>
        <v>74.8</v>
      </c>
      <c r="G160" s="405">
        <f t="shared" si="13"/>
        <v>0.99733333333333329</v>
      </c>
    </row>
    <row r="161" spans="1:7" ht="84" x14ac:dyDescent="0.2">
      <c r="A161" s="277" t="s">
        <v>445</v>
      </c>
      <c r="B161" s="273" t="s">
        <v>348</v>
      </c>
      <c r="C161" s="273" t="s">
        <v>550</v>
      </c>
      <c r="D161" s="273"/>
      <c r="E161" s="373">
        <f>E163</f>
        <v>75</v>
      </c>
      <c r="F161" s="373">
        <f>F163</f>
        <v>74.8</v>
      </c>
      <c r="G161" s="405">
        <f t="shared" si="13"/>
        <v>0.99733333333333329</v>
      </c>
    </row>
    <row r="162" spans="1:7" ht="31.5" customHeight="1" x14ac:dyDescent="0.2">
      <c r="A162" s="328" t="s">
        <v>362</v>
      </c>
      <c r="B162" s="242" t="s">
        <v>348</v>
      </c>
      <c r="C162" s="242" t="s">
        <v>550</v>
      </c>
      <c r="D162" s="242" t="s">
        <v>361</v>
      </c>
      <c r="E162" s="375">
        <f>E163</f>
        <v>75</v>
      </c>
      <c r="F162" s="375">
        <f>F163</f>
        <v>74.8</v>
      </c>
      <c r="G162" s="405">
        <f t="shared" si="13"/>
        <v>0.99733333333333329</v>
      </c>
    </row>
    <row r="163" spans="1:7" ht="30" customHeight="1" x14ac:dyDescent="0.2">
      <c r="A163" s="311" t="s">
        <v>328</v>
      </c>
      <c r="B163" s="248" t="s">
        <v>348</v>
      </c>
      <c r="C163" s="248" t="s">
        <v>550</v>
      </c>
      <c r="D163" s="248" t="s">
        <v>265</v>
      </c>
      <c r="E163" s="375">
        <f>'прил 4 вед 15.12'!G167</f>
        <v>75</v>
      </c>
      <c r="F163" s="375">
        <f>'прил 4 вед 15.12'!H167</f>
        <v>74.8</v>
      </c>
      <c r="G163" s="405">
        <f t="shared" si="13"/>
        <v>0.99733333333333329</v>
      </c>
    </row>
    <row r="164" spans="1:7" x14ac:dyDescent="0.2">
      <c r="A164" s="321" t="s">
        <v>127</v>
      </c>
      <c r="B164" s="273" t="s">
        <v>22</v>
      </c>
      <c r="C164" s="273"/>
      <c r="D164" s="273"/>
      <c r="E164" s="373">
        <f>E165+E168+E170</f>
        <v>563</v>
      </c>
      <c r="F164" s="373">
        <f>F165+F168+F170</f>
        <v>562.6</v>
      </c>
      <c r="G164" s="405">
        <f t="shared" si="13"/>
        <v>0.99928952042628783</v>
      </c>
    </row>
    <row r="165" spans="1:7" ht="24" x14ac:dyDescent="0.2">
      <c r="A165" s="287" t="s">
        <v>450</v>
      </c>
      <c r="B165" s="272" t="s">
        <v>22</v>
      </c>
      <c r="C165" s="272" t="s">
        <v>551</v>
      </c>
      <c r="D165" s="272"/>
      <c r="E165" s="372">
        <f>E167</f>
        <v>473</v>
      </c>
      <c r="F165" s="372">
        <f>F167</f>
        <v>473</v>
      </c>
      <c r="G165" s="405">
        <f t="shared" si="13"/>
        <v>1</v>
      </c>
    </row>
    <row r="166" spans="1:7" ht="60" x14ac:dyDescent="0.2">
      <c r="A166" s="328" t="s">
        <v>362</v>
      </c>
      <c r="B166" s="242" t="s">
        <v>22</v>
      </c>
      <c r="C166" s="242" t="s">
        <v>551</v>
      </c>
      <c r="D166" s="242" t="s">
        <v>361</v>
      </c>
      <c r="E166" s="375">
        <f>E167</f>
        <v>473</v>
      </c>
      <c r="F166" s="375">
        <f>F167</f>
        <v>473</v>
      </c>
      <c r="G166" s="405">
        <f t="shared" si="13"/>
        <v>1</v>
      </c>
    </row>
    <row r="167" spans="1:7" ht="36" x14ac:dyDescent="0.2">
      <c r="A167" s="241" t="s">
        <v>328</v>
      </c>
      <c r="B167" s="242" t="s">
        <v>22</v>
      </c>
      <c r="C167" s="242" t="s">
        <v>551</v>
      </c>
      <c r="D167" s="242" t="s">
        <v>265</v>
      </c>
      <c r="E167" s="375">
        <f>'прил 4 вед 15.12'!G171</f>
        <v>473</v>
      </c>
      <c r="F167" s="375">
        <f>'прил 4 вед 15.12'!H171</f>
        <v>473</v>
      </c>
      <c r="G167" s="405">
        <f t="shared" si="13"/>
        <v>1</v>
      </c>
    </row>
    <row r="168" spans="1:7" ht="36" hidden="1" x14ac:dyDescent="0.2">
      <c r="A168" s="249" t="s">
        <v>183</v>
      </c>
      <c r="B168" s="242" t="s">
        <v>22</v>
      </c>
      <c r="C168" s="242" t="s">
        <v>182</v>
      </c>
      <c r="D168" s="242"/>
      <c r="E168" s="374">
        <f>E169</f>
        <v>0</v>
      </c>
      <c r="F168" s="389"/>
      <c r="G168" s="405" t="e">
        <f t="shared" si="13"/>
        <v>#DIV/0!</v>
      </c>
    </row>
    <row r="169" spans="1:7" ht="24" hidden="1" x14ac:dyDescent="0.2">
      <c r="A169" s="250" t="s">
        <v>262</v>
      </c>
      <c r="B169" s="242" t="s">
        <v>22</v>
      </c>
      <c r="C169" s="242" t="s">
        <v>182</v>
      </c>
      <c r="D169" s="242" t="s">
        <v>263</v>
      </c>
      <c r="E169" s="375"/>
      <c r="F169" s="389"/>
      <c r="G169" s="405" t="e">
        <f t="shared" si="13"/>
        <v>#DIV/0!</v>
      </c>
    </row>
    <row r="170" spans="1:7" ht="48" x14ac:dyDescent="0.2">
      <c r="A170" s="298" t="s">
        <v>451</v>
      </c>
      <c r="B170" s="273" t="s">
        <v>22</v>
      </c>
      <c r="C170" s="273" t="s">
        <v>569</v>
      </c>
      <c r="D170" s="273"/>
      <c r="E170" s="373">
        <f>E172</f>
        <v>90</v>
      </c>
      <c r="F170" s="373">
        <f>F172</f>
        <v>89.6</v>
      </c>
      <c r="G170" s="405">
        <f t="shared" si="13"/>
        <v>0.99555555555555553</v>
      </c>
    </row>
    <row r="171" spans="1:7" ht="26.25" customHeight="1" x14ac:dyDescent="0.2">
      <c r="A171" s="328" t="s">
        <v>362</v>
      </c>
      <c r="B171" s="248" t="s">
        <v>22</v>
      </c>
      <c r="C171" s="242" t="s">
        <v>569</v>
      </c>
      <c r="D171" s="242" t="s">
        <v>361</v>
      </c>
      <c r="E171" s="375">
        <f>E172</f>
        <v>90</v>
      </c>
      <c r="F171" s="375">
        <f>F172</f>
        <v>89.6</v>
      </c>
      <c r="G171" s="405">
        <f t="shared" si="13"/>
        <v>0.99555555555555553</v>
      </c>
    </row>
    <row r="172" spans="1:7" ht="24.75" customHeight="1" thickBot="1" x14ac:dyDescent="0.25">
      <c r="A172" s="241" t="s">
        <v>328</v>
      </c>
      <c r="B172" s="248" t="s">
        <v>22</v>
      </c>
      <c r="C172" s="242" t="s">
        <v>569</v>
      </c>
      <c r="D172" s="242" t="s">
        <v>265</v>
      </c>
      <c r="E172" s="375">
        <f>'прил 4 вед 15.12'!G174</f>
        <v>90</v>
      </c>
      <c r="F172" s="375">
        <f>'прил 4 вед 15.12'!H174</f>
        <v>89.6</v>
      </c>
      <c r="G172" s="405">
        <f t="shared" si="13"/>
        <v>0.99555555555555553</v>
      </c>
    </row>
    <row r="173" spans="1:7" ht="13.5" thickBot="1" x14ac:dyDescent="0.25">
      <c r="A173" s="284" t="s">
        <v>212</v>
      </c>
      <c r="B173" s="285" t="s">
        <v>23</v>
      </c>
      <c r="C173" s="285"/>
      <c r="D173" s="285"/>
      <c r="E173" s="380">
        <f>E174+E178</f>
        <v>2648.6</v>
      </c>
      <c r="F173" s="380">
        <f>F174+F178</f>
        <v>2646.8</v>
      </c>
      <c r="G173" s="405">
        <f t="shared" si="13"/>
        <v>0.99932039568073705</v>
      </c>
    </row>
    <row r="174" spans="1:7" x14ac:dyDescent="0.2">
      <c r="A174" s="287" t="s">
        <v>36</v>
      </c>
      <c r="B174" s="272" t="s">
        <v>37</v>
      </c>
      <c r="C174" s="272"/>
      <c r="D174" s="272"/>
      <c r="E174" s="372">
        <f>E175</f>
        <v>2049</v>
      </c>
      <c r="F174" s="372">
        <f>F175</f>
        <v>2048.1</v>
      </c>
      <c r="G174" s="405">
        <f t="shared" si="13"/>
        <v>0.99956076134699845</v>
      </c>
    </row>
    <row r="175" spans="1:7" ht="60" x14ac:dyDescent="0.2">
      <c r="A175" s="277" t="s">
        <v>452</v>
      </c>
      <c r="B175" s="273" t="s">
        <v>37</v>
      </c>
      <c r="C175" s="273" t="s">
        <v>552</v>
      </c>
      <c r="D175" s="273"/>
      <c r="E175" s="373">
        <f>E177</f>
        <v>2049</v>
      </c>
      <c r="F175" s="373">
        <f>F177</f>
        <v>2048.1</v>
      </c>
      <c r="G175" s="405">
        <f t="shared" si="13"/>
        <v>0.99956076134699845</v>
      </c>
    </row>
    <row r="176" spans="1:7" ht="29.25" customHeight="1" x14ac:dyDescent="0.2">
      <c r="A176" s="328" t="s">
        <v>362</v>
      </c>
      <c r="B176" s="242" t="s">
        <v>37</v>
      </c>
      <c r="C176" s="242" t="s">
        <v>552</v>
      </c>
      <c r="D176" s="242" t="s">
        <v>361</v>
      </c>
      <c r="E176" s="375">
        <f>E177</f>
        <v>2049</v>
      </c>
      <c r="F176" s="375">
        <f>F177</f>
        <v>2048.1</v>
      </c>
      <c r="G176" s="405">
        <f t="shared" si="13"/>
        <v>0.99956076134699845</v>
      </c>
    </row>
    <row r="177" spans="1:7" ht="21" customHeight="1" x14ac:dyDescent="0.2">
      <c r="A177" s="241" t="s">
        <v>328</v>
      </c>
      <c r="B177" s="242" t="s">
        <v>37</v>
      </c>
      <c r="C177" s="242" t="s">
        <v>552</v>
      </c>
      <c r="D177" s="242" t="s">
        <v>265</v>
      </c>
      <c r="E177" s="375">
        <f>'прил 4 вед 15.12'!G179</f>
        <v>2049</v>
      </c>
      <c r="F177" s="375">
        <f>'прил 4 вед 15.12'!H179</f>
        <v>2048.1</v>
      </c>
      <c r="G177" s="405">
        <f t="shared" si="13"/>
        <v>0.99956076134699845</v>
      </c>
    </row>
    <row r="178" spans="1:7" ht="24" x14ac:dyDescent="0.2">
      <c r="A178" s="298" t="s">
        <v>332</v>
      </c>
      <c r="B178" s="273" t="s">
        <v>288</v>
      </c>
      <c r="C178" s="273"/>
      <c r="D178" s="273"/>
      <c r="E178" s="373">
        <f>E181</f>
        <v>599.6</v>
      </c>
      <c r="F178" s="373">
        <f>F181</f>
        <v>598.70000000000005</v>
      </c>
      <c r="G178" s="405">
        <f t="shared" si="13"/>
        <v>0.99849899933288866</v>
      </c>
    </row>
    <row r="179" spans="1:7" ht="24" x14ac:dyDescent="0.2">
      <c r="A179" s="300" t="s">
        <v>453</v>
      </c>
      <c r="B179" s="296" t="s">
        <v>288</v>
      </c>
      <c r="C179" s="273" t="s">
        <v>553</v>
      </c>
      <c r="D179" s="296"/>
      <c r="E179" s="386">
        <f>E181</f>
        <v>599.6</v>
      </c>
      <c r="F179" s="386">
        <f>F181</f>
        <v>598.70000000000005</v>
      </c>
      <c r="G179" s="405">
        <f t="shared" si="13"/>
        <v>0.99849899933288866</v>
      </c>
    </row>
    <row r="180" spans="1:7" ht="33" customHeight="1" x14ac:dyDescent="0.2">
      <c r="A180" s="328" t="s">
        <v>362</v>
      </c>
      <c r="B180" s="248" t="s">
        <v>288</v>
      </c>
      <c r="C180" s="242" t="s">
        <v>553</v>
      </c>
      <c r="D180" s="242" t="s">
        <v>361</v>
      </c>
      <c r="E180" s="375">
        <f>E181</f>
        <v>599.6</v>
      </c>
      <c r="F180" s="375">
        <f>F181</f>
        <v>598.70000000000005</v>
      </c>
      <c r="G180" s="405">
        <f t="shared" si="13"/>
        <v>0.99849899933288866</v>
      </c>
    </row>
    <row r="181" spans="1:7" ht="24" customHeight="1" thickBot="1" x14ac:dyDescent="0.25">
      <c r="A181" s="241" t="s">
        <v>328</v>
      </c>
      <c r="B181" s="248" t="s">
        <v>288</v>
      </c>
      <c r="C181" s="242" t="s">
        <v>553</v>
      </c>
      <c r="D181" s="242" t="s">
        <v>265</v>
      </c>
      <c r="E181" s="375">
        <f>'прил 4 вед 15.12'!G183</f>
        <v>599.6</v>
      </c>
      <c r="F181" s="375">
        <f>'прил 4 вед 15.12'!H183</f>
        <v>598.70000000000005</v>
      </c>
      <c r="G181" s="405">
        <f t="shared" si="13"/>
        <v>0.99849899933288866</v>
      </c>
    </row>
    <row r="182" spans="1:7" ht="13.5" thickBot="1" x14ac:dyDescent="0.25">
      <c r="A182" s="284" t="s">
        <v>33</v>
      </c>
      <c r="B182" s="285">
        <v>1000</v>
      </c>
      <c r="C182" s="285"/>
      <c r="D182" s="285"/>
      <c r="E182" s="380">
        <f>E187+E183</f>
        <v>944.8</v>
      </c>
      <c r="F182" s="380">
        <f>F187+F183</f>
        <v>765.1</v>
      </c>
      <c r="G182" s="405">
        <f t="shared" si="13"/>
        <v>0.80980101608806099</v>
      </c>
    </row>
    <row r="183" spans="1:7" x14ac:dyDescent="0.2">
      <c r="A183" s="271" t="s">
        <v>226</v>
      </c>
      <c r="B183" s="272" t="s">
        <v>225</v>
      </c>
      <c r="C183" s="272"/>
      <c r="D183" s="272"/>
      <c r="E183" s="372">
        <f>E184</f>
        <v>484.2</v>
      </c>
      <c r="F183" s="372">
        <f>F184</f>
        <v>304.5</v>
      </c>
      <c r="G183" s="405">
        <f t="shared" si="13"/>
        <v>0.62887236679058245</v>
      </c>
    </row>
    <row r="184" spans="1:7" ht="36" x14ac:dyDescent="0.2">
      <c r="A184" s="334" t="s">
        <v>227</v>
      </c>
      <c r="B184" s="326" t="s">
        <v>225</v>
      </c>
      <c r="C184" s="296" t="s">
        <v>554</v>
      </c>
      <c r="D184" s="326"/>
      <c r="E184" s="373">
        <f>E186</f>
        <v>484.2</v>
      </c>
      <c r="F184" s="373">
        <f>F186</f>
        <v>304.5</v>
      </c>
      <c r="G184" s="405">
        <f t="shared" si="13"/>
        <v>0.62887236679058245</v>
      </c>
    </row>
    <row r="185" spans="1:7" ht="36" x14ac:dyDescent="0.2">
      <c r="A185" s="340" t="s">
        <v>372</v>
      </c>
      <c r="B185" s="336" t="s">
        <v>225</v>
      </c>
      <c r="C185" s="248" t="s">
        <v>554</v>
      </c>
      <c r="D185" s="336" t="s">
        <v>370</v>
      </c>
      <c r="E185" s="374">
        <f>E186</f>
        <v>484.2</v>
      </c>
      <c r="F185" s="374">
        <f>F186</f>
        <v>304.5</v>
      </c>
      <c r="G185" s="405">
        <f t="shared" si="13"/>
        <v>0.62887236679058245</v>
      </c>
    </row>
    <row r="186" spans="1:7" ht="36" x14ac:dyDescent="0.2">
      <c r="A186" s="340" t="s">
        <v>373</v>
      </c>
      <c r="B186" s="336" t="s">
        <v>225</v>
      </c>
      <c r="C186" s="248" t="s">
        <v>554</v>
      </c>
      <c r="D186" s="336" t="s">
        <v>371</v>
      </c>
      <c r="E186" s="374">
        <f>'прил 4 вед 15.12'!G188</f>
        <v>484.2</v>
      </c>
      <c r="F186" s="374">
        <f>'прил 4 вед 15.12'!H188</f>
        <v>304.5</v>
      </c>
      <c r="G186" s="405">
        <f t="shared" si="13"/>
        <v>0.62887236679058245</v>
      </c>
    </row>
    <row r="187" spans="1:7" x14ac:dyDescent="0.2">
      <c r="A187" s="277" t="s">
        <v>170</v>
      </c>
      <c r="B187" s="273" t="s">
        <v>38</v>
      </c>
      <c r="C187" s="273"/>
      <c r="D187" s="273"/>
      <c r="E187" s="373">
        <f>E188+E194</f>
        <v>460.6</v>
      </c>
      <c r="F187" s="373">
        <f>F188+F194</f>
        <v>460.6</v>
      </c>
      <c r="G187" s="405">
        <f t="shared" si="13"/>
        <v>1</v>
      </c>
    </row>
    <row r="188" spans="1:7" ht="24" hidden="1" x14ac:dyDescent="0.2">
      <c r="A188" s="277" t="s">
        <v>175</v>
      </c>
      <c r="B188" s="273" t="s">
        <v>38</v>
      </c>
      <c r="C188" s="273" t="s">
        <v>421</v>
      </c>
      <c r="D188" s="273"/>
      <c r="E188" s="373">
        <f>E189</f>
        <v>0</v>
      </c>
      <c r="F188" s="389"/>
      <c r="G188" s="405" t="e">
        <f t="shared" si="13"/>
        <v>#DIV/0!</v>
      </c>
    </row>
    <row r="189" spans="1:7" ht="24" hidden="1" x14ac:dyDescent="0.2">
      <c r="A189" s="249" t="s">
        <v>176</v>
      </c>
      <c r="B189" s="242" t="s">
        <v>38</v>
      </c>
      <c r="C189" s="242" t="s">
        <v>421</v>
      </c>
      <c r="D189" s="242"/>
      <c r="E189" s="374">
        <f>E190+E192</f>
        <v>0</v>
      </c>
      <c r="F189" s="389"/>
      <c r="G189" s="405" t="e">
        <f t="shared" si="13"/>
        <v>#DIV/0!</v>
      </c>
    </row>
    <row r="190" spans="1:7" ht="48" hidden="1" x14ac:dyDescent="0.2">
      <c r="A190" s="241" t="s">
        <v>359</v>
      </c>
      <c r="B190" s="242" t="s">
        <v>38</v>
      </c>
      <c r="C190" s="242" t="s">
        <v>421</v>
      </c>
      <c r="D190" s="242" t="s">
        <v>355</v>
      </c>
      <c r="E190" s="374">
        <f>E191</f>
        <v>0</v>
      </c>
      <c r="F190" s="389"/>
      <c r="G190" s="405" t="e">
        <f t="shared" si="13"/>
        <v>#DIV/0!</v>
      </c>
    </row>
    <row r="191" spans="1:7" ht="24" hidden="1" x14ac:dyDescent="0.2">
      <c r="A191" s="241" t="s">
        <v>360</v>
      </c>
      <c r="B191" s="242" t="s">
        <v>38</v>
      </c>
      <c r="C191" s="242" t="s">
        <v>421</v>
      </c>
      <c r="D191" s="242" t="s">
        <v>356</v>
      </c>
      <c r="E191" s="374">
        <v>0</v>
      </c>
      <c r="F191" s="389"/>
      <c r="G191" s="405" t="e">
        <f t="shared" si="13"/>
        <v>#DIV/0!</v>
      </c>
    </row>
    <row r="192" spans="1:7" ht="60" hidden="1" x14ac:dyDescent="0.2">
      <c r="A192" s="328" t="s">
        <v>362</v>
      </c>
      <c r="B192" s="242" t="s">
        <v>38</v>
      </c>
      <c r="C192" s="242" t="s">
        <v>421</v>
      </c>
      <c r="D192" s="242" t="s">
        <v>361</v>
      </c>
      <c r="E192" s="374">
        <f>E193</f>
        <v>0</v>
      </c>
      <c r="F192" s="389"/>
      <c r="G192" s="405" t="e">
        <f t="shared" si="13"/>
        <v>#DIV/0!</v>
      </c>
    </row>
    <row r="193" spans="1:7" ht="36" hidden="1" x14ac:dyDescent="0.2">
      <c r="A193" s="241" t="s">
        <v>328</v>
      </c>
      <c r="B193" s="242" t="s">
        <v>38</v>
      </c>
      <c r="C193" s="242" t="s">
        <v>421</v>
      </c>
      <c r="D193" s="242" t="s">
        <v>265</v>
      </c>
      <c r="E193" s="374">
        <v>0</v>
      </c>
      <c r="F193" s="389"/>
      <c r="G193" s="405" t="e">
        <f t="shared" si="13"/>
        <v>#DIV/0!</v>
      </c>
    </row>
    <row r="194" spans="1:7" ht="48" x14ac:dyDescent="0.2">
      <c r="A194" s="277" t="s">
        <v>574</v>
      </c>
      <c r="B194" s="273" t="s">
        <v>38</v>
      </c>
      <c r="C194" s="273" t="s">
        <v>575</v>
      </c>
      <c r="D194" s="273"/>
      <c r="E194" s="387">
        <f>E196</f>
        <v>460.6</v>
      </c>
      <c r="F194" s="387">
        <f>F196</f>
        <v>460.6</v>
      </c>
      <c r="G194" s="405">
        <f t="shared" si="13"/>
        <v>1</v>
      </c>
    </row>
    <row r="195" spans="1:7" ht="18.75" customHeight="1" x14ac:dyDescent="0.2">
      <c r="A195" s="340" t="s">
        <v>372</v>
      </c>
      <c r="B195" s="242" t="s">
        <v>38</v>
      </c>
      <c r="C195" s="242" t="s">
        <v>575</v>
      </c>
      <c r="D195" s="242" t="s">
        <v>370</v>
      </c>
      <c r="E195" s="374">
        <f>E196</f>
        <v>460.6</v>
      </c>
      <c r="F195" s="374">
        <f>F196</f>
        <v>460.6</v>
      </c>
      <c r="G195" s="405">
        <f t="shared" ref="G195:G207" si="15">F195/E195</f>
        <v>1</v>
      </c>
    </row>
    <row r="196" spans="1:7" ht="22.5" customHeight="1" thickBot="1" x14ac:dyDescent="0.25">
      <c r="A196" s="340" t="s">
        <v>373</v>
      </c>
      <c r="B196" s="242" t="s">
        <v>38</v>
      </c>
      <c r="C196" s="242" t="s">
        <v>575</v>
      </c>
      <c r="D196" s="242" t="s">
        <v>371</v>
      </c>
      <c r="E196" s="374">
        <f>'прил 4 вед 15.12'!G192</f>
        <v>460.6</v>
      </c>
      <c r="F196" s="374">
        <f>'прил 4 вед 15.12'!H192</f>
        <v>460.6</v>
      </c>
      <c r="G196" s="405">
        <f t="shared" si="15"/>
        <v>1</v>
      </c>
    </row>
    <row r="197" spans="1:7" ht="13.5" thickBot="1" x14ac:dyDescent="0.25">
      <c r="A197" s="284" t="s">
        <v>169</v>
      </c>
      <c r="B197" s="285" t="s">
        <v>190</v>
      </c>
      <c r="C197" s="285"/>
      <c r="D197" s="285"/>
      <c r="E197" s="380">
        <f t="shared" ref="E197:F198" si="16">E198</f>
        <v>364.5</v>
      </c>
      <c r="F197" s="380">
        <f t="shared" si="16"/>
        <v>363.5</v>
      </c>
      <c r="G197" s="405">
        <f t="shared" si="15"/>
        <v>0.99725651577503427</v>
      </c>
    </row>
    <row r="198" spans="1:7" x14ac:dyDescent="0.2">
      <c r="A198" s="287" t="s">
        <v>191</v>
      </c>
      <c r="B198" s="272" t="s">
        <v>189</v>
      </c>
      <c r="C198" s="272"/>
      <c r="D198" s="272"/>
      <c r="E198" s="372">
        <f t="shared" si="16"/>
        <v>364.5</v>
      </c>
      <c r="F198" s="372">
        <f t="shared" si="16"/>
        <v>363.5</v>
      </c>
      <c r="G198" s="405">
        <f t="shared" si="15"/>
        <v>0.99725651577503427</v>
      </c>
    </row>
    <row r="199" spans="1:7" ht="72" x14ac:dyDescent="0.2">
      <c r="A199" s="298" t="s">
        <v>437</v>
      </c>
      <c r="B199" s="242" t="s">
        <v>189</v>
      </c>
      <c r="C199" s="296" t="s">
        <v>555</v>
      </c>
      <c r="D199" s="242"/>
      <c r="E199" s="374">
        <f>E201</f>
        <v>364.5</v>
      </c>
      <c r="F199" s="374">
        <f>F201</f>
        <v>363.5</v>
      </c>
      <c r="G199" s="405">
        <f t="shared" si="15"/>
        <v>0.99725651577503427</v>
      </c>
    </row>
    <row r="200" spans="1:7" ht="26.25" customHeight="1" x14ac:dyDescent="0.2">
      <c r="A200" s="328" t="s">
        <v>362</v>
      </c>
      <c r="B200" s="248" t="s">
        <v>189</v>
      </c>
      <c r="C200" s="248" t="s">
        <v>555</v>
      </c>
      <c r="D200" s="248" t="s">
        <v>361</v>
      </c>
      <c r="E200" s="375">
        <f>E201</f>
        <v>364.5</v>
      </c>
      <c r="F200" s="375">
        <f>F201</f>
        <v>363.5</v>
      </c>
      <c r="G200" s="405">
        <f t="shared" si="15"/>
        <v>0.99725651577503427</v>
      </c>
    </row>
    <row r="201" spans="1:7" ht="23.25" customHeight="1" thickBot="1" x14ac:dyDescent="0.25">
      <c r="A201" s="241" t="s">
        <v>328</v>
      </c>
      <c r="B201" s="248" t="s">
        <v>189</v>
      </c>
      <c r="C201" s="248" t="s">
        <v>555</v>
      </c>
      <c r="D201" s="248" t="s">
        <v>265</v>
      </c>
      <c r="E201" s="375">
        <f>'прил 4 вед 15.12'!G198</f>
        <v>364.5</v>
      </c>
      <c r="F201" s="375">
        <f>'прил 4 вед 15.12'!H198</f>
        <v>363.5</v>
      </c>
      <c r="G201" s="405">
        <f t="shared" si="15"/>
        <v>0.99725651577503427</v>
      </c>
    </row>
    <row r="202" spans="1:7" ht="13.5" thickBot="1" x14ac:dyDescent="0.25">
      <c r="A202" s="284" t="s">
        <v>192</v>
      </c>
      <c r="B202" s="285" t="s">
        <v>193</v>
      </c>
      <c r="C202" s="285"/>
      <c r="D202" s="285"/>
      <c r="E202" s="380">
        <f>E203</f>
        <v>440.2</v>
      </c>
      <c r="F202" s="380">
        <f>F203</f>
        <v>439.4</v>
      </c>
      <c r="G202" s="405">
        <f t="shared" si="15"/>
        <v>0.99818264425261238</v>
      </c>
    </row>
    <row r="203" spans="1:7" x14ac:dyDescent="0.2">
      <c r="A203" s="287" t="s">
        <v>195</v>
      </c>
      <c r="B203" s="272" t="s">
        <v>194</v>
      </c>
      <c r="C203" s="272"/>
      <c r="D203" s="272"/>
      <c r="E203" s="372">
        <f>E204</f>
        <v>440.2</v>
      </c>
      <c r="F203" s="372">
        <f>F204</f>
        <v>439.4</v>
      </c>
      <c r="G203" s="405">
        <f t="shared" si="15"/>
        <v>0.99818264425261238</v>
      </c>
    </row>
    <row r="204" spans="1:7" ht="36" x14ac:dyDescent="0.2">
      <c r="A204" s="298" t="s">
        <v>292</v>
      </c>
      <c r="B204" s="273" t="s">
        <v>194</v>
      </c>
      <c r="C204" s="273" t="s">
        <v>557</v>
      </c>
      <c r="D204" s="273"/>
      <c r="E204" s="373">
        <f>E206</f>
        <v>440.2</v>
      </c>
      <c r="F204" s="373">
        <f>F206</f>
        <v>439.4</v>
      </c>
      <c r="G204" s="405">
        <f t="shared" si="15"/>
        <v>0.99818264425261238</v>
      </c>
    </row>
    <row r="205" spans="1:7" ht="26.25" customHeight="1" x14ac:dyDescent="0.2">
      <c r="A205" s="328" t="s">
        <v>362</v>
      </c>
      <c r="B205" s="242" t="s">
        <v>194</v>
      </c>
      <c r="C205" s="242" t="s">
        <v>557</v>
      </c>
      <c r="D205" s="248" t="s">
        <v>361</v>
      </c>
      <c r="E205" s="374">
        <f>E206</f>
        <v>440.2</v>
      </c>
      <c r="F205" s="374">
        <f>F206</f>
        <v>439.4</v>
      </c>
      <c r="G205" s="405">
        <f t="shared" si="15"/>
        <v>0.99818264425261238</v>
      </c>
    </row>
    <row r="206" spans="1:7" ht="24.75" customHeight="1" thickBot="1" x14ac:dyDescent="0.25">
      <c r="A206" s="241" t="s">
        <v>328</v>
      </c>
      <c r="B206" s="242" t="s">
        <v>194</v>
      </c>
      <c r="C206" s="242" t="s">
        <v>557</v>
      </c>
      <c r="D206" s="248" t="s">
        <v>265</v>
      </c>
      <c r="E206" s="374">
        <f>'прил 4 вед 15.12'!G203</f>
        <v>440.2</v>
      </c>
      <c r="F206" s="374">
        <f>'прил 4 вед 15.12'!H203</f>
        <v>439.4</v>
      </c>
      <c r="G206" s="405">
        <f t="shared" si="15"/>
        <v>0.99818264425261238</v>
      </c>
    </row>
    <row r="207" spans="1:7" ht="15" thickBot="1" x14ac:dyDescent="0.25">
      <c r="A207" s="302" t="s">
        <v>34</v>
      </c>
      <c r="B207" s="303"/>
      <c r="C207" s="303"/>
      <c r="D207" s="303"/>
      <c r="E207" s="388">
        <f>E202+E197+E182+E173+E159+E110+E96+E9+E86</f>
        <v>100417.5</v>
      </c>
      <c r="F207" s="388">
        <f>F202+F197+F182+F173+F159+F110+F96+F9+F86</f>
        <v>97861.299999999988</v>
      </c>
      <c r="G207" s="405">
        <f t="shared" si="15"/>
        <v>0.97454427764084939</v>
      </c>
    </row>
    <row r="209" spans="5:5" x14ac:dyDescent="0.2">
      <c r="E209" s="260"/>
    </row>
    <row r="210" spans="5:5" x14ac:dyDescent="0.2">
      <c r="E210" s="107"/>
    </row>
    <row r="212" spans="5:5" x14ac:dyDescent="0.2">
      <c r="E212" s="115"/>
    </row>
  </sheetData>
  <mergeCells count="1">
    <mergeCell ref="A5:G6"/>
  </mergeCells>
  <printOptions horizontalCentered="1"/>
  <pageMargins left="0.51181102362204722" right="0.11811023622047245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2"/>
  <sheetViews>
    <sheetView tabSelected="1" workbookViewId="0">
      <selection activeCell="I7" sqref="I7"/>
    </sheetView>
  </sheetViews>
  <sheetFormatPr defaultRowHeight="12.75" x14ac:dyDescent="0.2"/>
  <cols>
    <col min="1" max="1" width="8.140625" style="9" customWidth="1"/>
    <col min="2" max="2" width="51.42578125" style="8" customWidth="1"/>
    <col min="3" max="3" width="9.42578125" style="8" customWidth="1"/>
    <col min="4" max="4" width="17.28515625" style="9" customWidth="1"/>
    <col min="5" max="5" width="11.5703125" style="8" customWidth="1"/>
    <col min="6" max="6" width="11" style="8" customWidth="1"/>
    <col min="7" max="7" width="14" style="399" customWidth="1"/>
    <col min="8" max="8" width="11" style="400" customWidth="1"/>
    <col min="9" max="9" width="12" style="402" customWidth="1"/>
    <col min="10" max="16" width="9.140625" style="114" customWidth="1"/>
    <col min="17" max="17" width="11.28515625" style="114" customWidth="1"/>
    <col min="18" max="18" width="9.85546875" style="114" customWidth="1"/>
    <col min="19" max="21" width="9.140625" style="114" customWidth="1"/>
    <col min="22" max="22" width="9.5703125" style="260" customWidth="1"/>
    <col min="23" max="23" width="9.140625" style="114" customWidth="1"/>
    <col min="24" max="24" width="9.140625" style="322" customWidth="1"/>
    <col min="25" max="29" width="9.140625" style="114" customWidth="1"/>
    <col min="30" max="16384" width="9.140625" style="114"/>
  </cols>
  <sheetData>
    <row r="1" spans="1:20" ht="15.75" x14ac:dyDescent="0.2">
      <c r="A1" s="230"/>
      <c r="B1" s="231"/>
      <c r="C1" s="231"/>
      <c r="D1" s="355"/>
      <c r="E1" s="231"/>
      <c r="F1" s="231"/>
      <c r="I1" s="395" t="s">
        <v>631</v>
      </c>
    </row>
    <row r="2" spans="1:20" x14ac:dyDescent="0.2">
      <c r="A2" s="232"/>
      <c r="B2" s="116"/>
      <c r="C2" s="116"/>
      <c r="D2" s="116"/>
      <c r="E2" s="116"/>
      <c r="F2" s="116"/>
      <c r="I2" s="426" t="s">
        <v>627</v>
      </c>
    </row>
    <row r="3" spans="1:20" ht="25.5" customHeight="1" x14ac:dyDescent="0.2">
      <c r="A3" s="232"/>
      <c r="B3" s="116"/>
      <c r="C3" s="116"/>
      <c r="D3" s="116"/>
      <c r="E3" s="116"/>
      <c r="F3" s="116"/>
      <c r="I3" s="426" t="s">
        <v>628</v>
      </c>
    </row>
    <row r="4" spans="1:20" x14ac:dyDescent="0.2">
      <c r="A4" s="232"/>
      <c r="B4" s="116"/>
      <c r="C4" s="116"/>
      <c r="D4" s="116"/>
      <c r="E4" s="116"/>
      <c r="F4" s="116"/>
      <c r="G4" s="370"/>
    </row>
    <row r="5" spans="1:20" x14ac:dyDescent="0.2">
      <c r="A5" s="425" t="s">
        <v>612</v>
      </c>
      <c r="B5" s="425"/>
      <c r="C5" s="425" t="s">
        <v>218</v>
      </c>
      <c r="D5" s="425"/>
      <c r="E5" s="425"/>
      <c r="F5" s="425"/>
      <c r="G5" s="370"/>
    </row>
    <row r="6" spans="1:20" x14ac:dyDescent="0.2">
      <c r="A6" s="425" t="s">
        <v>613</v>
      </c>
      <c r="B6" s="425"/>
      <c r="C6" s="425"/>
      <c r="D6" s="425"/>
      <c r="E6" s="425"/>
      <c r="F6" s="425"/>
      <c r="G6" s="370"/>
    </row>
    <row r="7" spans="1:20" ht="13.5" thickBot="1" x14ac:dyDescent="0.25">
      <c r="A7" s="234"/>
      <c r="B7" s="235"/>
      <c r="C7" s="235"/>
      <c r="D7" s="234"/>
      <c r="E7" s="234"/>
      <c r="F7" s="236"/>
      <c r="G7" s="370"/>
    </row>
    <row r="8" spans="1:20" ht="84" customHeight="1" thickBot="1" x14ac:dyDescent="0.25">
      <c r="A8" s="237" t="s">
        <v>89</v>
      </c>
      <c r="B8" s="238" t="s">
        <v>24</v>
      </c>
      <c r="C8" s="239" t="s">
        <v>137</v>
      </c>
      <c r="D8" s="239" t="s">
        <v>25</v>
      </c>
      <c r="E8" s="239" t="s">
        <v>14</v>
      </c>
      <c r="F8" s="239" t="s">
        <v>26</v>
      </c>
      <c r="G8" s="393" t="s">
        <v>618</v>
      </c>
      <c r="H8" s="401" t="s">
        <v>616</v>
      </c>
      <c r="I8" s="359" t="s">
        <v>617</v>
      </c>
    </row>
    <row r="9" spans="1:20" ht="36.75" thickBot="1" x14ac:dyDescent="0.25">
      <c r="A9" s="267" t="s">
        <v>2</v>
      </c>
      <c r="B9" s="268" t="s">
        <v>172</v>
      </c>
      <c r="C9" s="269" t="s">
        <v>155</v>
      </c>
      <c r="D9" s="269"/>
      <c r="E9" s="269"/>
      <c r="F9" s="269"/>
      <c r="G9" s="380">
        <f>G10</f>
        <v>2586.4</v>
      </c>
      <c r="H9" s="380">
        <f>H10</f>
        <v>2391.1</v>
      </c>
      <c r="I9" s="403">
        <f>H9/G9</f>
        <v>0.92448963810702123</v>
      </c>
      <c r="R9" s="260"/>
      <c r="T9" s="260"/>
    </row>
    <row r="10" spans="1:20" x14ac:dyDescent="0.2">
      <c r="A10" s="270" t="s">
        <v>162</v>
      </c>
      <c r="B10" s="271" t="s">
        <v>72</v>
      </c>
      <c r="C10" s="272" t="s">
        <v>155</v>
      </c>
      <c r="D10" s="272" t="s">
        <v>13</v>
      </c>
      <c r="E10" s="272"/>
      <c r="F10" s="272"/>
      <c r="G10" s="372">
        <f>G12+G15</f>
        <v>2586.4</v>
      </c>
      <c r="H10" s="372">
        <f>H12+H15</f>
        <v>2391.1</v>
      </c>
      <c r="I10" s="403">
        <f t="shared" ref="I10:I73" si="0">H10/G10</f>
        <v>0.92448963810702123</v>
      </c>
    </row>
    <row r="11" spans="1:20" ht="36" x14ac:dyDescent="0.2">
      <c r="A11" s="270" t="s">
        <v>60</v>
      </c>
      <c r="B11" s="271" t="s">
        <v>334</v>
      </c>
      <c r="C11" s="272" t="s">
        <v>155</v>
      </c>
      <c r="D11" s="272" t="s">
        <v>41</v>
      </c>
      <c r="E11" s="272"/>
      <c r="F11" s="272"/>
      <c r="G11" s="372">
        <f t="shared" ref="G11:H13" si="1">G12</f>
        <v>1035.6000000000001</v>
      </c>
      <c r="H11" s="372">
        <f t="shared" si="1"/>
        <v>1034.5999999999999</v>
      </c>
      <c r="I11" s="403">
        <f t="shared" si="0"/>
        <v>0.99903437620702951</v>
      </c>
    </row>
    <row r="12" spans="1:20" x14ac:dyDescent="0.2">
      <c r="A12" s="274" t="s">
        <v>43</v>
      </c>
      <c r="B12" s="275" t="s">
        <v>156</v>
      </c>
      <c r="C12" s="273" t="s">
        <v>155</v>
      </c>
      <c r="D12" s="273" t="s">
        <v>41</v>
      </c>
      <c r="E12" s="273" t="s">
        <v>519</v>
      </c>
      <c r="F12" s="273"/>
      <c r="G12" s="373">
        <f t="shared" si="1"/>
        <v>1035.6000000000001</v>
      </c>
      <c r="H12" s="373">
        <f t="shared" si="1"/>
        <v>1034.5999999999999</v>
      </c>
      <c r="I12" s="403">
        <f t="shared" si="0"/>
        <v>0.99903437620702951</v>
      </c>
    </row>
    <row r="13" spans="1:20" ht="37.5" customHeight="1" x14ac:dyDescent="0.2">
      <c r="A13" s="240" t="s">
        <v>42</v>
      </c>
      <c r="B13" s="241" t="s">
        <v>357</v>
      </c>
      <c r="C13" s="242" t="s">
        <v>155</v>
      </c>
      <c r="D13" s="242" t="s">
        <v>41</v>
      </c>
      <c r="E13" s="242" t="s">
        <v>519</v>
      </c>
      <c r="F13" s="242" t="s">
        <v>355</v>
      </c>
      <c r="G13" s="374">
        <f t="shared" si="1"/>
        <v>1035.6000000000001</v>
      </c>
      <c r="H13" s="374">
        <f t="shared" si="1"/>
        <v>1034.5999999999999</v>
      </c>
      <c r="I13" s="403">
        <f t="shared" si="0"/>
        <v>0.99903437620702951</v>
      </c>
    </row>
    <row r="14" spans="1:20" ht="36" x14ac:dyDescent="0.2">
      <c r="A14" s="240" t="s">
        <v>363</v>
      </c>
      <c r="B14" s="241" t="s">
        <v>358</v>
      </c>
      <c r="C14" s="242" t="s">
        <v>155</v>
      </c>
      <c r="D14" s="242" t="s">
        <v>41</v>
      </c>
      <c r="E14" s="242" t="s">
        <v>519</v>
      </c>
      <c r="F14" s="242" t="s">
        <v>356</v>
      </c>
      <c r="G14" s="374">
        <f>1048.5-15.8+2.9</f>
        <v>1035.6000000000001</v>
      </c>
      <c r="H14" s="153">
        <v>1034.5999999999999</v>
      </c>
      <c r="I14" s="403">
        <f t="shared" si="0"/>
        <v>0.99903437620702951</v>
      </c>
    </row>
    <row r="15" spans="1:20" ht="36" x14ac:dyDescent="0.2">
      <c r="A15" s="274" t="s">
        <v>159</v>
      </c>
      <c r="B15" s="275" t="s">
        <v>214</v>
      </c>
      <c r="C15" s="273" t="s">
        <v>155</v>
      </c>
      <c r="D15" s="273" t="s">
        <v>27</v>
      </c>
      <c r="E15" s="273"/>
      <c r="F15" s="273"/>
      <c r="G15" s="373">
        <f>G17+G33</f>
        <v>1550.8</v>
      </c>
      <c r="H15" s="373">
        <f>H17+H33</f>
        <v>1356.5</v>
      </c>
      <c r="I15" s="403">
        <f t="shared" si="0"/>
        <v>0.87470982718596857</v>
      </c>
    </row>
    <row r="16" spans="1:20" ht="24" x14ac:dyDescent="0.2">
      <c r="A16" s="274" t="s">
        <v>177</v>
      </c>
      <c r="B16" s="325" t="s">
        <v>566</v>
      </c>
      <c r="C16" s="326" t="s">
        <v>155</v>
      </c>
      <c r="D16" s="326" t="s">
        <v>27</v>
      </c>
      <c r="E16" s="273" t="s">
        <v>520</v>
      </c>
      <c r="F16" s="326"/>
      <c r="G16" s="373">
        <f>G33+G17</f>
        <v>1550.8</v>
      </c>
      <c r="H16" s="373">
        <f>H33+H17</f>
        <v>1356.5</v>
      </c>
      <c r="I16" s="403">
        <f t="shared" si="0"/>
        <v>0.87470982718596857</v>
      </c>
    </row>
    <row r="17" spans="1:9" ht="24" x14ac:dyDescent="0.2">
      <c r="A17" s="274" t="s">
        <v>576</v>
      </c>
      <c r="B17" s="275" t="s">
        <v>260</v>
      </c>
      <c r="C17" s="273" t="s">
        <v>155</v>
      </c>
      <c r="D17" s="273" t="s">
        <v>27</v>
      </c>
      <c r="E17" s="273" t="s">
        <v>560</v>
      </c>
      <c r="F17" s="273"/>
      <c r="G17" s="373">
        <f>G19+G22+G31</f>
        <v>1410.3999999999999</v>
      </c>
      <c r="H17" s="373">
        <f>H19+H22+H31</f>
        <v>1216.0999999999999</v>
      </c>
      <c r="I17" s="403">
        <f t="shared" si="0"/>
        <v>0.86223766307430516</v>
      </c>
    </row>
    <row r="18" spans="1:9" ht="48" x14ac:dyDescent="0.2">
      <c r="A18" s="240" t="s">
        <v>179</v>
      </c>
      <c r="B18" s="327" t="s">
        <v>359</v>
      </c>
      <c r="C18" s="242" t="s">
        <v>155</v>
      </c>
      <c r="D18" s="242" t="s">
        <v>27</v>
      </c>
      <c r="E18" s="242" t="s">
        <v>560</v>
      </c>
      <c r="F18" s="242" t="s">
        <v>355</v>
      </c>
      <c r="G18" s="375">
        <f>G19</f>
        <v>1310.0999999999999</v>
      </c>
      <c r="H18" s="375">
        <f>H19</f>
        <v>1115.8</v>
      </c>
      <c r="I18" s="403">
        <f t="shared" si="0"/>
        <v>0.85169071063277613</v>
      </c>
    </row>
    <row r="19" spans="1:9" ht="24" x14ac:dyDescent="0.2">
      <c r="A19" s="240" t="s">
        <v>374</v>
      </c>
      <c r="B19" s="327" t="s">
        <v>360</v>
      </c>
      <c r="C19" s="242" t="s">
        <v>155</v>
      </c>
      <c r="D19" s="242" t="s">
        <v>27</v>
      </c>
      <c r="E19" s="242" t="s">
        <v>560</v>
      </c>
      <c r="F19" s="242" t="s">
        <v>356</v>
      </c>
      <c r="G19" s="375">
        <f>1360.1-50</f>
        <v>1310.0999999999999</v>
      </c>
      <c r="H19" s="153">
        <v>1115.8</v>
      </c>
      <c r="I19" s="403">
        <f t="shared" si="0"/>
        <v>0.85169071063277613</v>
      </c>
    </row>
    <row r="20" spans="1:9" hidden="1" x14ac:dyDescent="0.2">
      <c r="A20" s="274" t="s">
        <v>261</v>
      </c>
      <c r="B20" s="241" t="s">
        <v>262</v>
      </c>
      <c r="C20" s="242" t="s">
        <v>155</v>
      </c>
      <c r="D20" s="242" t="s">
        <v>27</v>
      </c>
      <c r="E20" s="242" t="s">
        <v>520</v>
      </c>
      <c r="F20" s="242" t="s">
        <v>263</v>
      </c>
      <c r="G20" s="375"/>
      <c r="H20" s="153"/>
      <c r="I20" s="403" t="e">
        <f t="shared" si="0"/>
        <v>#DIV/0!</v>
      </c>
    </row>
    <row r="21" spans="1:9" ht="60" x14ac:dyDescent="0.2">
      <c r="A21" s="240" t="s">
        <v>479</v>
      </c>
      <c r="B21" s="328" t="s">
        <v>362</v>
      </c>
      <c r="C21" s="242" t="s">
        <v>155</v>
      </c>
      <c r="D21" s="242" t="s">
        <v>27</v>
      </c>
      <c r="E21" s="242" t="s">
        <v>560</v>
      </c>
      <c r="F21" s="242" t="s">
        <v>361</v>
      </c>
      <c r="G21" s="375">
        <f>G22</f>
        <v>98.3</v>
      </c>
      <c r="H21" s="375">
        <f>H22</f>
        <v>98.3</v>
      </c>
      <c r="I21" s="403">
        <f t="shared" si="0"/>
        <v>1</v>
      </c>
    </row>
    <row r="22" spans="1:9" ht="36" x14ac:dyDescent="0.2">
      <c r="A22" s="240" t="s">
        <v>567</v>
      </c>
      <c r="B22" s="241" t="s">
        <v>328</v>
      </c>
      <c r="C22" s="242" t="s">
        <v>155</v>
      </c>
      <c r="D22" s="242" t="s">
        <v>27</v>
      </c>
      <c r="E22" s="242" t="s">
        <v>560</v>
      </c>
      <c r="F22" s="242" t="s">
        <v>265</v>
      </c>
      <c r="G22" s="375">
        <v>98.3</v>
      </c>
      <c r="H22" s="153">
        <v>98.3</v>
      </c>
      <c r="I22" s="403">
        <f t="shared" si="0"/>
        <v>1</v>
      </c>
    </row>
    <row r="23" spans="1:9" ht="24.75" hidden="1" thickBot="1" x14ac:dyDescent="0.25">
      <c r="A23" s="267" t="s">
        <v>45</v>
      </c>
      <c r="B23" s="268" t="s">
        <v>389</v>
      </c>
      <c r="C23" s="269" t="s">
        <v>325</v>
      </c>
      <c r="D23" s="269"/>
      <c r="E23" s="269"/>
      <c r="F23" s="269"/>
      <c r="G23" s="376">
        <v>0</v>
      </c>
      <c r="H23" s="153"/>
      <c r="I23" s="403" t="e">
        <f t="shared" si="0"/>
        <v>#DIV/0!</v>
      </c>
    </row>
    <row r="24" spans="1:9" hidden="1" x14ac:dyDescent="0.2">
      <c r="A24" s="270" t="s">
        <v>162</v>
      </c>
      <c r="B24" s="271" t="s">
        <v>72</v>
      </c>
      <c r="C24" s="272" t="s">
        <v>325</v>
      </c>
      <c r="D24" s="272" t="s">
        <v>13</v>
      </c>
      <c r="E24" s="272"/>
      <c r="F24" s="272"/>
      <c r="G24" s="372">
        <v>0</v>
      </c>
      <c r="H24" s="153"/>
      <c r="I24" s="403" t="e">
        <f t="shared" si="0"/>
        <v>#DIV/0!</v>
      </c>
    </row>
    <row r="25" spans="1:9" hidden="1" x14ac:dyDescent="0.2">
      <c r="A25" s="276" t="s">
        <v>43</v>
      </c>
      <c r="B25" s="277" t="s">
        <v>326</v>
      </c>
      <c r="C25" s="278" t="s">
        <v>325</v>
      </c>
      <c r="D25" s="278" t="s">
        <v>319</v>
      </c>
      <c r="E25" s="278"/>
      <c r="F25" s="278"/>
      <c r="G25" s="373">
        <f>G26</f>
        <v>0</v>
      </c>
      <c r="H25" s="153"/>
      <c r="I25" s="403" t="e">
        <f t="shared" si="0"/>
        <v>#DIV/0!</v>
      </c>
    </row>
    <row r="26" spans="1:9" ht="24" hidden="1" x14ac:dyDescent="0.2">
      <c r="A26" s="274" t="s">
        <v>42</v>
      </c>
      <c r="B26" s="275" t="s">
        <v>390</v>
      </c>
      <c r="C26" s="273" t="s">
        <v>325</v>
      </c>
      <c r="D26" s="273" t="s">
        <v>319</v>
      </c>
      <c r="E26" s="273" t="s">
        <v>391</v>
      </c>
      <c r="F26" s="273"/>
      <c r="G26" s="373">
        <f>G27+G29</f>
        <v>0</v>
      </c>
      <c r="H26" s="153"/>
      <c r="I26" s="403" t="e">
        <f t="shared" si="0"/>
        <v>#DIV/0!</v>
      </c>
    </row>
    <row r="27" spans="1:9" ht="60" hidden="1" x14ac:dyDescent="0.2">
      <c r="A27" s="244" t="s">
        <v>363</v>
      </c>
      <c r="B27" s="241" t="s">
        <v>357</v>
      </c>
      <c r="C27" s="243" t="s">
        <v>325</v>
      </c>
      <c r="D27" s="243" t="s">
        <v>319</v>
      </c>
      <c r="E27" s="243" t="s">
        <v>320</v>
      </c>
      <c r="F27" s="243" t="s">
        <v>355</v>
      </c>
      <c r="G27" s="374">
        <f>G28</f>
        <v>0</v>
      </c>
      <c r="H27" s="153"/>
      <c r="I27" s="403" t="e">
        <f t="shared" si="0"/>
        <v>#DIV/0!</v>
      </c>
    </row>
    <row r="28" spans="1:9" ht="36" hidden="1" x14ac:dyDescent="0.2">
      <c r="A28" s="244" t="s">
        <v>393</v>
      </c>
      <c r="B28" s="241" t="s">
        <v>358</v>
      </c>
      <c r="C28" s="243" t="s">
        <v>325</v>
      </c>
      <c r="D28" s="243" t="s">
        <v>319</v>
      </c>
      <c r="E28" s="243" t="s">
        <v>320</v>
      </c>
      <c r="F28" s="243" t="s">
        <v>356</v>
      </c>
      <c r="G28" s="374">
        <v>0</v>
      </c>
      <c r="H28" s="153"/>
      <c r="I28" s="403" t="e">
        <f t="shared" si="0"/>
        <v>#DIV/0!</v>
      </c>
    </row>
    <row r="29" spans="1:9" ht="36" hidden="1" x14ac:dyDescent="0.2">
      <c r="A29" s="244" t="s">
        <v>412</v>
      </c>
      <c r="B29" s="241" t="s">
        <v>392</v>
      </c>
      <c r="C29" s="243" t="s">
        <v>325</v>
      </c>
      <c r="D29" s="243" t="s">
        <v>319</v>
      </c>
      <c r="E29" s="243" t="s">
        <v>320</v>
      </c>
      <c r="F29" s="243" t="s">
        <v>361</v>
      </c>
      <c r="G29" s="374">
        <f>G30</f>
        <v>0</v>
      </c>
      <c r="H29" s="153"/>
      <c r="I29" s="403" t="e">
        <f t="shared" si="0"/>
        <v>#DIV/0!</v>
      </c>
    </row>
    <row r="30" spans="1:9" ht="36" hidden="1" x14ac:dyDescent="0.2">
      <c r="A30" s="244" t="s">
        <v>413</v>
      </c>
      <c r="B30" s="241" t="s">
        <v>328</v>
      </c>
      <c r="C30" s="243" t="s">
        <v>325</v>
      </c>
      <c r="D30" s="243" t="s">
        <v>319</v>
      </c>
      <c r="E30" s="243" t="s">
        <v>320</v>
      </c>
      <c r="F30" s="243" t="s">
        <v>265</v>
      </c>
      <c r="G30" s="374">
        <v>0</v>
      </c>
      <c r="H30" s="153"/>
      <c r="I30" s="403" t="e">
        <f t="shared" si="0"/>
        <v>#DIV/0!</v>
      </c>
    </row>
    <row r="31" spans="1:9" ht="24" x14ac:dyDescent="0.2">
      <c r="A31" s="240" t="s">
        <v>601</v>
      </c>
      <c r="B31" s="241" t="s">
        <v>367</v>
      </c>
      <c r="C31" s="242" t="s">
        <v>155</v>
      </c>
      <c r="D31" s="242" t="s">
        <v>27</v>
      </c>
      <c r="E31" s="242" t="s">
        <v>560</v>
      </c>
      <c r="F31" s="242" t="s">
        <v>366</v>
      </c>
      <c r="G31" s="375">
        <f>G32</f>
        <v>2</v>
      </c>
      <c r="H31" s="375">
        <f>H32</f>
        <v>2</v>
      </c>
      <c r="I31" s="403">
        <f t="shared" si="0"/>
        <v>1</v>
      </c>
    </row>
    <row r="32" spans="1:9" ht="24" x14ac:dyDescent="0.2">
      <c r="A32" s="240" t="s">
        <v>602</v>
      </c>
      <c r="B32" s="309" t="s">
        <v>369</v>
      </c>
      <c r="C32" s="242" t="s">
        <v>155</v>
      </c>
      <c r="D32" s="242" t="s">
        <v>27</v>
      </c>
      <c r="E32" s="242" t="s">
        <v>560</v>
      </c>
      <c r="F32" s="242" t="s">
        <v>368</v>
      </c>
      <c r="G32" s="375">
        <v>2</v>
      </c>
      <c r="H32" s="153">
        <v>2</v>
      </c>
      <c r="I32" s="403">
        <f t="shared" si="0"/>
        <v>1</v>
      </c>
    </row>
    <row r="33" spans="1:26" ht="24" x14ac:dyDescent="0.2">
      <c r="A33" s="274" t="s">
        <v>479</v>
      </c>
      <c r="B33" s="325" t="s">
        <v>240</v>
      </c>
      <c r="C33" s="326" t="s">
        <v>155</v>
      </c>
      <c r="D33" s="326" t="s">
        <v>27</v>
      </c>
      <c r="E33" s="273" t="s">
        <v>561</v>
      </c>
      <c r="F33" s="326"/>
      <c r="G33" s="373">
        <f>G34</f>
        <v>140.4</v>
      </c>
      <c r="H33" s="373">
        <f>H34</f>
        <v>140.4</v>
      </c>
      <c r="I33" s="403">
        <f t="shared" si="0"/>
        <v>1</v>
      </c>
    </row>
    <row r="34" spans="1:26" ht="34.5" customHeight="1" x14ac:dyDescent="0.2">
      <c r="A34" s="240" t="s">
        <v>567</v>
      </c>
      <c r="B34" s="241" t="s">
        <v>357</v>
      </c>
      <c r="C34" s="242" t="s">
        <v>155</v>
      </c>
      <c r="D34" s="242" t="s">
        <v>27</v>
      </c>
      <c r="E34" s="242" t="s">
        <v>561</v>
      </c>
      <c r="F34" s="242" t="s">
        <v>355</v>
      </c>
      <c r="G34" s="374">
        <f>G35</f>
        <v>140.4</v>
      </c>
      <c r="H34" s="374">
        <f>H35</f>
        <v>140.4</v>
      </c>
      <c r="I34" s="403">
        <f t="shared" si="0"/>
        <v>1</v>
      </c>
      <c r="Z34" s="312"/>
    </row>
    <row r="35" spans="1:26" ht="36.75" thickBot="1" x14ac:dyDescent="0.25">
      <c r="A35" s="240" t="s">
        <v>568</v>
      </c>
      <c r="B35" s="241" t="s">
        <v>358</v>
      </c>
      <c r="C35" s="242" t="s">
        <v>155</v>
      </c>
      <c r="D35" s="242" t="s">
        <v>27</v>
      </c>
      <c r="E35" s="242" t="s">
        <v>561</v>
      </c>
      <c r="F35" s="242" t="s">
        <v>356</v>
      </c>
      <c r="G35" s="374">
        <v>140.4</v>
      </c>
      <c r="H35" s="153">
        <v>140.4</v>
      </c>
      <c r="I35" s="403">
        <f t="shared" si="0"/>
        <v>1</v>
      </c>
    </row>
    <row r="36" spans="1:26" ht="36.75" thickBot="1" x14ac:dyDescent="0.25">
      <c r="A36" s="267" t="s">
        <v>45</v>
      </c>
      <c r="B36" s="268" t="s">
        <v>173</v>
      </c>
      <c r="C36" s="269" t="s">
        <v>136</v>
      </c>
      <c r="D36" s="269"/>
      <c r="E36" s="269"/>
      <c r="F36" s="269"/>
      <c r="G36" s="376">
        <f>G37+G90+G100+G114+G163+G175+G184+G194+G199</f>
        <v>97831.1</v>
      </c>
      <c r="H36" s="376">
        <f>H37+H90+H100+H114+H163+H175+H184+H194+H199</f>
        <v>95470.2</v>
      </c>
      <c r="I36" s="403">
        <f t="shared" si="0"/>
        <v>0.97586759220738595</v>
      </c>
    </row>
    <row r="37" spans="1:26" x14ac:dyDescent="0.2">
      <c r="A37" s="270" t="s">
        <v>162</v>
      </c>
      <c r="B37" s="271" t="s">
        <v>72</v>
      </c>
      <c r="C37" s="272" t="s">
        <v>136</v>
      </c>
      <c r="D37" s="272" t="s">
        <v>13</v>
      </c>
      <c r="E37" s="272"/>
      <c r="F37" s="272"/>
      <c r="G37" s="372">
        <f>G38+G59+G63</f>
        <v>24618.5</v>
      </c>
      <c r="H37" s="372">
        <f>H38+H59+H63</f>
        <v>24234.100000000002</v>
      </c>
      <c r="I37" s="403">
        <f t="shared" si="0"/>
        <v>0.9843857261815302</v>
      </c>
      <c r="J37" s="260"/>
      <c r="K37" s="260"/>
    </row>
    <row r="38" spans="1:26" ht="36" x14ac:dyDescent="0.2">
      <c r="A38" s="279" t="s">
        <v>7</v>
      </c>
      <c r="B38" s="275" t="s">
        <v>264</v>
      </c>
      <c r="C38" s="273" t="s">
        <v>136</v>
      </c>
      <c r="D38" s="273" t="s">
        <v>44</v>
      </c>
      <c r="E38" s="273"/>
      <c r="F38" s="273"/>
      <c r="G38" s="373">
        <f>G40+G43+G50+G53</f>
        <v>23735.3</v>
      </c>
      <c r="H38" s="373">
        <f>H40+H43+H50+H53</f>
        <v>23373.600000000002</v>
      </c>
      <c r="I38" s="403">
        <f t="shared" si="0"/>
        <v>0.98476109423516889</v>
      </c>
      <c r="R38" s="260"/>
    </row>
    <row r="39" spans="1:26" s="2" customFormat="1" ht="36" x14ac:dyDescent="0.2">
      <c r="A39" s="279" t="s">
        <v>43</v>
      </c>
      <c r="B39" s="275" t="s">
        <v>564</v>
      </c>
      <c r="C39" s="273" t="s">
        <v>136</v>
      </c>
      <c r="D39" s="273" t="s">
        <v>44</v>
      </c>
      <c r="E39" s="273" t="s">
        <v>521</v>
      </c>
      <c r="F39" s="273"/>
      <c r="G39" s="373">
        <f>G40+G43</f>
        <v>22937.5</v>
      </c>
      <c r="H39" s="373">
        <f>H40+H43</f>
        <v>22579.600000000002</v>
      </c>
      <c r="I39" s="403">
        <f t="shared" si="0"/>
        <v>0.98439673024523167</v>
      </c>
      <c r="V39" s="118"/>
      <c r="X39" s="322"/>
    </row>
    <row r="40" spans="1:26" ht="24" x14ac:dyDescent="0.2">
      <c r="A40" s="279" t="s">
        <v>43</v>
      </c>
      <c r="B40" s="275" t="s">
        <v>565</v>
      </c>
      <c r="C40" s="273" t="s">
        <v>136</v>
      </c>
      <c r="D40" s="273" t="s">
        <v>44</v>
      </c>
      <c r="E40" s="273" t="s">
        <v>562</v>
      </c>
      <c r="F40" s="273"/>
      <c r="G40" s="373">
        <f t="shared" ref="G40:H40" si="2">G42</f>
        <v>1068.5999999999999</v>
      </c>
      <c r="H40" s="373">
        <f t="shared" si="2"/>
        <v>1067.2</v>
      </c>
      <c r="I40" s="403">
        <f t="shared" si="0"/>
        <v>0.99868987460228353</v>
      </c>
    </row>
    <row r="41" spans="1:26" ht="48" x14ac:dyDescent="0.2">
      <c r="A41" s="245" t="s">
        <v>42</v>
      </c>
      <c r="B41" s="241" t="s">
        <v>359</v>
      </c>
      <c r="C41" s="242" t="s">
        <v>136</v>
      </c>
      <c r="D41" s="242" t="s">
        <v>44</v>
      </c>
      <c r="E41" s="242" t="s">
        <v>562</v>
      </c>
      <c r="F41" s="242" t="s">
        <v>355</v>
      </c>
      <c r="G41" s="374">
        <f>G42</f>
        <v>1068.5999999999999</v>
      </c>
      <c r="H41" s="374">
        <f>H42</f>
        <v>1067.2</v>
      </c>
      <c r="I41" s="403">
        <f t="shared" si="0"/>
        <v>0.99868987460228353</v>
      </c>
    </row>
    <row r="42" spans="1:26" ht="24" x14ac:dyDescent="0.2">
      <c r="A42" s="245" t="s">
        <v>363</v>
      </c>
      <c r="B42" s="241" t="s">
        <v>360</v>
      </c>
      <c r="C42" s="242" t="s">
        <v>136</v>
      </c>
      <c r="D42" s="242" t="s">
        <v>44</v>
      </c>
      <c r="E42" s="242" t="s">
        <v>562</v>
      </c>
      <c r="F42" s="242" t="s">
        <v>356</v>
      </c>
      <c r="G42" s="374">
        <f>1080.6-16.1+4.1</f>
        <v>1068.5999999999999</v>
      </c>
      <c r="H42" s="153">
        <v>1067.2</v>
      </c>
      <c r="I42" s="403">
        <f t="shared" si="0"/>
        <v>0.99868987460228353</v>
      </c>
    </row>
    <row r="43" spans="1:26" ht="24" x14ac:dyDescent="0.2">
      <c r="A43" s="276" t="s">
        <v>61</v>
      </c>
      <c r="B43" s="277" t="s">
        <v>174</v>
      </c>
      <c r="C43" s="273" t="s">
        <v>136</v>
      </c>
      <c r="D43" s="273" t="s">
        <v>44</v>
      </c>
      <c r="E43" s="273" t="s">
        <v>563</v>
      </c>
      <c r="F43" s="273"/>
      <c r="G43" s="373">
        <f>G44+G46+G48</f>
        <v>21868.9</v>
      </c>
      <c r="H43" s="373">
        <f>H44+H46+H48</f>
        <v>21512.400000000001</v>
      </c>
      <c r="I43" s="403">
        <f t="shared" si="0"/>
        <v>0.98369831130052265</v>
      </c>
    </row>
    <row r="44" spans="1:26" ht="32.25" customHeight="1" x14ac:dyDescent="0.2">
      <c r="A44" s="244" t="s">
        <v>178</v>
      </c>
      <c r="B44" s="241" t="s">
        <v>359</v>
      </c>
      <c r="C44" s="242" t="s">
        <v>136</v>
      </c>
      <c r="D44" s="242" t="s">
        <v>44</v>
      </c>
      <c r="E44" s="242" t="s">
        <v>563</v>
      </c>
      <c r="F44" s="242" t="s">
        <v>355</v>
      </c>
      <c r="G44" s="377">
        <f>G45</f>
        <v>11745.099999999999</v>
      </c>
      <c r="H44" s="377">
        <f>H45</f>
        <v>11453.6</v>
      </c>
      <c r="I44" s="403">
        <f t="shared" si="0"/>
        <v>0.97518113936875817</v>
      </c>
    </row>
    <row r="45" spans="1:26" ht="24" x14ac:dyDescent="0.2">
      <c r="A45" s="244" t="s">
        <v>364</v>
      </c>
      <c r="B45" s="241" t="s">
        <v>360</v>
      </c>
      <c r="C45" s="242" t="s">
        <v>136</v>
      </c>
      <c r="D45" s="242" t="s">
        <v>44</v>
      </c>
      <c r="E45" s="242" t="s">
        <v>563</v>
      </c>
      <c r="F45" s="242" t="s">
        <v>356</v>
      </c>
      <c r="G45" s="377">
        <f>11929.5+34.8-190.7+1.5-30</f>
        <v>11745.099999999999</v>
      </c>
      <c r="H45" s="153">
        <v>11453.6</v>
      </c>
      <c r="I45" s="403">
        <f t="shared" si="0"/>
        <v>0.97518113936875817</v>
      </c>
    </row>
    <row r="46" spans="1:26" ht="33" customHeight="1" x14ac:dyDescent="0.2">
      <c r="A46" s="244" t="s">
        <v>329</v>
      </c>
      <c r="B46" s="328" t="s">
        <v>362</v>
      </c>
      <c r="C46" s="242" t="s">
        <v>136</v>
      </c>
      <c r="D46" s="242" t="s">
        <v>44</v>
      </c>
      <c r="E46" s="242" t="s">
        <v>563</v>
      </c>
      <c r="F46" s="242" t="s">
        <v>361</v>
      </c>
      <c r="G46" s="374">
        <f>G47</f>
        <v>10108.800000000001</v>
      </c>
      <c r="H46" s="374">
        <f>H47</f>
        <v>10044.4</v>
      </c>
      <c r="I46" s="403">
        <f t="shared" si="0"/>
        <v>0.99362931307375735</v>
      </c>
    </row>
    <row r="47" spans="1:26" ht="36" x14ac:dyDescent="0.2">
      <c r="A47" s="244" t="s">
        <v>330</v>
      </c>
      <c r="B47" s="241" t="s">
        <v>328</v>
      </c>
      <c r="C47" s="242" t="s">
        <v>136</v>
      </c>
      <c r="D47" s="242" t="s">
        <v>44</v>
      </c>
      <c r="E47" s="242" t="s">
        <v>563</v>
      </c>
      <c r="F47" s="242" t="s">
        <v>265</v>
      </c>
      <c r="G47" s="374">
        <f>5634.8+400-130-16-60.7-34.8+16.1+190.7+3343.3+700-5.6-1-10+2+50+30</f>
        <v>10108.800000000001</v>
      </c>
      <c r="H47" s="153">
        <v>10044.4</v>
      </c>
      <c r="I47" s="403">
        <f t="shared" si="0"/>
        <v>0.99362931307375735</v>
      </c>
    </row>
    <row r="48" spans="1:26" ht="24" x14ac:dyDescent="0.2">
      <c r="A48" s="244" t="s">
        <v>499</v>
      </c>
      <c r="B48" s="328" t="s">
        <v>367</v>
      </c>
      <c r="C48" s="304" t="s">
        <v>136</v>
      </c>
      <c r="D48" s="304" t="s">
        <v>44</v>
      </c>
      <c r="E48" s="242" t="s">
        <v>563</v>
      </c>
      <c r="F48" s="242" t="s">
        <v>366</v>
      </c>
      <c r="G48" s="374">
        <f>G49</f>
        <v>15</v>
      </c>
      <c r="H48" s="374">
        <f>H49</f>
        <v>14.4</v>
      </c>
      <c r="I48" s="403">
        <f t="shared" si="0"/>
        <v>0.96000000000000008</v>
      </c>
    </row>
    <row r="49" spans="1:9" ht="36" x14ac:dyDescent="0.2">
      <c r="A49" s="244" t="s">
        <v>500</v>
      </c>
      <c r="B49" s="305" t="s">
        <v>501</v>
      </c>
      <c r="C49" s="304" t="s">
        <v>136</v>
      </c>
      <c r="D49" s="304" t="s">
        <v>44</v>
      </c>
      <c r="E49" s="242" t="s">
        <v>563</v>
      </c>
      <c r="F49" s="242" t="s">
        <v>368</v>
      </c>
      <c r="G49" s="374">
        <f>16+1-2</f>
        <v>15</v>
      </c>
      <c r="H49" s="153">
        <v>14.4</v>
      </c>
      <c r="I49" s="403">
        <f t="shared" si="0"/>
        <v>0.96000000000000008</v>
      </c>
    </row>
    <row r="50" spans="1:9" ht="35.25" customHeight="1" x14ac:dyDescent="0.2">
      <c r="A50" s="276" t="s">
        <v>250</v>
      </c>
      <c r="B50" s="277" t="s">
        <v>570</v>
      </c>
      <c r="C50" s="278" t="s">
        <v>136</v>
      </c>
      <c r="D50" s="278" t="s">
        <v>44</v>
      </c>
      <c r="E50" s="278" t="s">
        <v>571</v>
      </c>
      <c r="F50" s="278"/>
      <c r="G50" s="378">
        <f>G51</f>
        <v>6</v>
      </c>
      <c r="H50" s="378">
        <f>H51</f>
        <v>6</v>
      </c>
      <c r="I50" s="403">
        <f t="shared" si="0"/>
        <v>1</v>
      </c>
    </row>
    <row r="51" spans="1:9" ht="34.5" customHeight="1" x14ac:dyDescent="0.2">
      <c r="A51" s="244" t="s">
        <v>365</v>
      </c>
      <c r="B51" s="328" t="s">
        <v>362</v>
      </c>
      <c r="C51" s="242" t="s">
        <v>136</v>
      </c>
      <c r="D51" s="242" t="s">
        <v>44</v>
      </c>
      <c r="E51" s="243" t="s">
        <v>571</v>
      </c>
      <c r="F51" s="242" t="s">
        <v>361</v>
      </c>
      <c r="G51" s="374">
        <f>G52</f>
        <v>6</v>
      </c>
      <c r="H51" s="374">
        <f>H52</f>
        <v>6</v>
      </c>
      <c r="I51" s="403">
        <f t="shared" si="0"/>
        <v>1</v>
      </c>
    </row>
    <row r="52" spans="1:9" ht="36" x14ac:dyDescent="0.2">
      <c r="A52" s="244" t="s">
        <v>375</v>
      </c>
      <c r="B52" s="241" t="s">
        <v>328</v>
      </c>
      <c r="C52" s="242" t="s">
        <v>136</v>
      </c>
      <c r="D52" s="242" t="s">
        <v>44</v>
      </c>
      <c r="E52" s="243" t="s">
        <v>571</v>
      </c>
      <c r="F52" s="242" t="s">
        <v>265</v>
      </c>
      <c r="G52" s="374">
        <v>6</v>
      </c>
      <c r="H52" s="153">
        <v>6</v>
      </c>
      <c r="I52" s="403">
        <f t="shared" si="0"/>
        <v>1</v>
      </c>
    </row>
    <row r="53" spans="1:9" ht="48" customHeight="1" x14ac:dyDescent="0.2">
      <c r="A53" s="276" t="s">
        <v>454</v>
      </c>
      <c r="B53" s="277" t="s">
        <v>572</v>
      </c>
      <c r="C53" s="273" t="s">
        <v>136</v>
      </c>
      <c r="D53" s="273" t="s">
        <v>44</v>
      </c>
      <c r="E53" s="278" t="s">
        <v>573</v>
      </c>
      <c r="F53" s="273"/>
      <c r="G53" s="373">
        <f>G54</f>
        <v>791.8</v>
      </c>
      <c r="H53" s="373">
        <f>H54</f>
        <v>788</v>
      </c>
      <c r="I53" s="403">
        <f t="shared" si="0"/>
        <v>0.99520080828492052</v>
      </c>
    </row>
    <row r="54" spans="1:9" ht="24" x14ac:dyDescent="0.2">
      <c r="A54" s="244" t="s">
        <v>455</v>
      </c>
      <c r="B54" s="249" t="s">
        <v>176</v>
      </c>
      <c r="C54" s="242" t="s">
        <v>136</v>
      </c>
      <c r="D54" s="242" t="s">
        <v>44</v>
      </c>
      <c r="E54" s="243" t="s">
        <v>573</v>
      </c>
      <c r="F54" s="242"/>
      <c r="G54" s="374">
        <f>G55+G57</f>
        <v>791.8</v>
      </c>
      <c r="H54" s="374">
        <f>H55+H57</f>
        <v>788</v>
      </c>
      <c r="I54" s="403">
        <f t="shared" si="0"/>
        <v>0.99520080828492052</v>
      </c>
    </row>
    <row r="55" spans="1:9" ht="48" x14ac:dyDescent="0.2">
      <c r="A55" s="244" t="s">
        <v>456</v>
      </c>
      <c r="B55" s="241" t="s">
        <v>359</v>
      </c>
      <c r="C55" s="242" t="s">
        <v>136</v>
      </c>
      <c r="D55" s="242" t="s">
        <v>44</v>
      </c>
      <c r="E55" s="243" t="s">
        <v>573</v>
      </c>
      <c r="F55" s="242" t="s">
        <v>355</v>
      </c>
      <c r="G55" s="374">
        <f>G56</f>
        <v>736.3</v>
      </c>
      <c r="H55" s="374">
        <f>H56</f>
        <v>732.5</v>
      </c>
      <c r="I55" s="403">
        <f t="shared" si="0"/>
        <v>0.99483906016569335</v>
      </c>
    </row>
    <row r="56" spans="1:9" ht="24" x14ac:dyDescent="0.2">
      <c r="A56" s="244" t="s">
        <v>457</v>
      </c>
      <c r="B56" s="241" t="s">
        <v>360</v>
      </c>
      <c r="C56" s="242" t="s">
        <v>136</v>
      </c>
      <c r="D56" s="242" t="s">
        <v>44</v>
      </c>
      <c r="E56" s="243" t="s">
        <v>573</v>
      </c>
      <c r="F56" s="242" t="s">
        <v>356</v>
      </c>
      <c r="G56" s="374">
        <v>736.3</v>
      </c>
      <c r="H56" s="153">
        <v>732.5</v>
      </c>
      <c r="I56" s="403">
        <f t="shared" si="0"/>
        <v>0.99483906016569335</v>
      </c>
    </row>
    <row r="57" spans="1:9" ht="29.25" customHeight="1" x14ac:dyDescent="0.2">
      <c r="A57" s="244" t="s">
        <v>458</v>
      </c>
      <c r="B57" s="328" t="s">
        <v>362</v>
      </c>
      <c r="C57" s="242" t="s">
        <v>136</v>
      </c>
      <c r="D57" s="242" t="s">
        <v>44</v>
      </c>
      <c r="E57" s="243" t="s">
        <v>573</v>
      </c>
      <c r="F57" s="242" t="s">
        <v>361</v>
      </c>
      <c r="G57" s="374">
        <f>G58</f>
        <v>55.5</v>
      </c>
      <c r="H57" s="374">
        <f>H58</f>
        <v>55.5</v>
      </c>
      <c r="I57" s="403">
        <f t="shared" si="0"/>
        <v>1</v>
      </c>
    </row>
    <row r="58" spans="1:9" ht="24.75" customHeight="1" x14ac:dyDescent="0.2">
      <c r="A58" s="244" t="s">
        <v>459</v>
      </c>
      <c r="B58" s="241" t="s">
        <v>328</v>
      </c>
      <c r="C58" s="242" t="s">
        <v>136</v>
      </c>
      <c r="D58" s="242" t="s">
        <v>44</v>
      </c>
      <c r="E58" s="243" t="s">
        <v>573</v>
      </c>
      <c r="F58" s="242" t="s">
        <v>265</v>
      </c>
      <c r="G58" s="374">
        <v>55.5</v>
      </c>
      <c r="H58" s="153">
        <v>55.5</v>
      </c>
      <c r="I58" s="403">
        <f t="shared" si="0"/>
        <v>1</v>
      </c>
    </row>
    <row r="59" spans="1:9" x14ac:dyDescent="0.2">
      <c r="A59" s="280" t="s">
        <v>159</v>
      </c>
      <c r="B59" s="277" t="s">
        <v>327</v>
      </c>
      <c r="C59" s="273" t="s">
        <v>136</v>
      </c>
      <c r="D59" s="273" t="s">
        <v>186</v>
      </c>
      <c r="E59" s="273"/>
      <c r="F59" s="273"/>
      <c r="G59" s="373">
        <f t="shared" ref="G59:H59" si="3">G60</f>
        <v>20</v>
      </c>
      <c r="H59" s="373">
        <f t="shared" si="3"/>
        <v>0</v>
      </c>
      <c r="I59" s="403">
        <f t="shared" si="0"/>
        <v>0</v>
      </c>
    </row>
    <row r="60" spans="1:9" x14ac:dyDescent="0.2">
      <c r="A60" s="280" t="s">
        <v>177</v>
      </c>
      <c r="B60" s="275" t="s">
        <v>164</v>
      </c>
      <c r="C60" s="273" t="s">
        <v>136</v>
      </c>
      <c r="D60" s="278" t="s">
        <v>186</v>
      </c>
      <c r="E60" s="278" t="s">
        <v>518</v>
      </c>
      <c r="F60" s="278"/>
      <c r="G60" s="378">
        <f>G62</f>
        <v>20</v>
      </c>
      <c r="H60" s="378">
        <f>H62</f>
        <v>0</v>
      </c>
      <c r="I60" s="403">
        <f t="shared" si="0"/>
        <v>0</v>
      </c>
    </row>
    <row r="61" spans="1:9" ht="24" x14ac:dyDescent="0.2">
      <c r="A61" s="281" t="s">
        <v>179</v>
      </c>
      <c r="B61" s="282" t="s">
        <v>367</v>
      </c>
      <c r="C61" s="242" t="s">
        <v>136</v>
      </c>
      <c r="D61" s="243" t="s">
        <v>186</v>
      </c>
      <c r="E61" s="243" t="s">
        <v>518</v>
      </c>
      <c r="F61" s="243" t="s">
        <v>366</v>
      </c>
      <c r="G61" s="374">
        <f>G62</f>
        <v>20</v>
      </c>
      <c r="H61" s="374">
        <f>H62</f>
        <v>0</v>
      </c>
      <c r="I61" s="403">
        <f t="shared" si="0"/>
        <v>0</v>
      </c>
    </row>
    <row r="62" spans="1:9" x14ac:dyDescent="0.2">
      <c r="A62" s="281" t="s">
        <v>374</v>
      </c>
      <c r="B62" s="241" t="s">
        <v>266</v>
      </c>
      <c r="C62" s="242" t="s">
        <v>136</v>
      </c>
      <c r="D62" s="243" t="s">
        <v>186</v>
      </c>
      <c r="E62" s="243" t="s">
        <v>518</v>
      </c>
      <c r="F62" s="243" t="s">
        <v>267</v>
      </c>
      <c r="G62" s="374">
        <v>20</v>
      </c>
      <c r="H62" s="153">
        <v>0</v>
      </c>
      <c r="I62" s="403">
        <f t="shared" si="0"/>
        <v>0</v>
      </c>
    </row>
    <row r="63" spans="1:9" x14ac:dyDescent="0.2">
      <c r="A63" s="276" t="s">
        <v>239</v>
      </c>
      <c r="B63" s="277" t="s">
        <v>28</v>
      </c>
      <c r="C63" s="273" t="s">
        <v>136</v>
      </c>
      <c r="D63" s="273" t="s">
        <v>187</v>
      </c>
      <c r="E63" s="273"/>
      <c r="F63" s="273"/>
      <c r="G63" s="373">
        <f>G69+G72+G75+G78+G84+G81+G87+G66</f>
        <v>863.19999999999993</v>
      </c>
      <c r="H63" s="373">
        <f>H69+H72+H75+H78+H84+H81+H87+H66</f>
        <v>860.5</v>
      </c>
      <c r="I63" s="403">
        <f t="shared" si="0"/>
        <v>0.99687210379981472</v>
      </c>
    </row>
    <row r="64" spans="1:9" ht="24" hidden="1" x14ac:dyDescent="0.2">
      <c r="A64" s="276" t="s">
        <v>255</v>
      </c>
      <c r="B64" s="277" t="s">
        <v>165</v>
      </c>
      <c r="C64" s="242" t="s">
        <v>136</v>
      </c>
      <c r="D64" s="242" t="s">
        <v>187</v>
      </c>
      <c r="E64" s="242" t="s">
        <v>180</v>
      </c>
      <c r="F64" s="242"/>
      <c r="G64" s="374">
        <f t="shared" ref="G64" si="4">G65</f>
        <v>0</v>
      </c>
      <c r="H64" s="153"/>
      <c r="I64" s="403" t="e">
        <f t="shared" si="0"/>
        <v>#DIV/0!</v>
      </c>
    </row>
    <row r="65" spans="1:13" hidden="1" x14ac:dyDescent="0.2">
      <c r="A65" s="245" t="s">
        <v>256</v>
      </c>
      <c r="B65" s="250" t="s">
        <v>262</v>
      </c>
      <c r="C65" s="242" t="s">
        <v>136</v>
      </c>
      <c r="D65" s="242" t="s">
        <v>187</v>
      </c>
      <c r="E65" s="242" t="s">
        <v>180</v>
      </c>
      <c r="F65" s="242" t="s">
        <v>263</v>
      </c>
      <c r="G65" s="374"/>
      <c r="H65" s="153"/>
      <c r="I65" s="403" t="e">
        <f t="shared" si="0"/>
        <v>#DIV/0!</v>
      </c>
    </row>
    <row r="66" spans="1:13" ht="24" hidden="1" x14ac:dyDescent="0.2">
      <c r="A66" s="276" t="s">
        <v>460</v>
      </c>
      <c r="B66" s="277" t="s">
        <v>165</v>
      </c>
      <c r="C66" s="273" t="s">
        <v>136</v>
      </c>
      <c r="D66" s="273" t="s">
        <v>187</v>
      </c>
      <c r="E66" s="273" t="s">
        <v>522</v>
      </c>
      <c r="F66" s="273"/>
      <c r="G66" s="373">
        <f t="shared" ref="G66:H66" si="5">G68</f>
        <v>0</v>
      </c>
      <c r="H66" s="373">
        <f t="shared" si="5"/>
        <v>0</v>
      </c>
      <c r="I66" s="403" t="e">
        <f t="shared" si="0"/>
        <v>#DIV/0!</v>
      </c>
    </row>
    <row r="67" spans="1:13" ht="32.25" hidden="1" customHeight="1" x14ac:dyDescent="0.2">
      <c r="A67" s="245" t="s">
        <v>73</v>
      </c>
      <c r="B67" s="328" t="s">
        <v>362</v>
      </c>
      <c r="C67" s="242" t="s">
        <v>136</v>
      </c>
      <c r="D67" s="242" t="s">
        <v>187</v>
      </c>
      <c r="E67" s="242" t="s">
        <v>522</v>
      </c>
      <c r="F67" s="242" t="s">
        <v>361</v>
      </c>
      <c r="G67" s="374">
        <f>G68</f>
        <v>0</v>
      </c>
      <c r="H67" s="374">
        <f>H68</f>
        <v>0</v>
      </c>
      <c r="I67" s="403" t="e">
        <f t="shared" si="0"/>
        <v>#DIV/0!</v>
      </c>
    </row>
    <row r="68" spans="1:13" ht="36" hidden="1" x14ac:dyDescent="0.2">
      <c r="A68" s="245" t="s">
        <v>376</v>
      </c>
      <c r="B68" s="241" t="s">
        <v>328</v>
      </c>
      <c r="C68" s="242" t="s">
        <v>136</v>
      </c>
      <c r="D68" s="242" t="s">
        <v>187</v>
      </c>
      <c r="E68" s="242" t="s">
        <v>522</v>
      </c>
      <c r="F68" s="242" t="s">
        <v>265</v>
      </c>
      <c r="G68" s="374">
        <f>35.5-35.5</f>
        <v>0</v>
      </c>
      <c r="H68" s="153"/>
      <c r="I68" s="403" t="e">
        <f t="shared" si="0"/>
        <v>#DIV/0!</v>
      </c>
    </row>
    <row r="69" spans="1:13" x14ac:dyDescent="0.2">
      <c r="A69" s="276" t="s">
        <v>461</v>
      </c>
      <c r="B69" s="277" t="s">
        <v>435</v>
      </c>
      <c r="C69" s="273" t="s">
        <v>136</v>
      </c>
      <c r="D69" s="273" t="s">
        <v>187</v>
      </c>
      <c r="E69" s="273" t="s">
        <v>523</v>
      </c>
      <c r="F69" s="273"/>
      <c r="G69" s="373">
        <f t="shared" ref="G69:H69" si="6">G71</f>
        <v>205.5</v>
      </c>
      <c r="H69" s="373">
        <f t="shared" si="6"/>
        <v>204.8</v>
      </c>
      <c r="I69" s="403">
        <f t="shared" si="0"/>
        <v>0.99659367396593679</v>
      </c>
    </row>
    <row r="70" spans="1:13" ht="30.75" customHeight="1" x14ac:dyDescent="0.2">
      <c r="A70" s="245" t="s">
        <v>462</v>
      </c>
      <c r="B70" s="328" t="s">
        <v>362</v>
      </c>
      <c r="C70" s="242" t="s">
        <v>136</v>
      </c>
      <c r="D70" s="242" t="s">
        <v>187</v>
      </c>
      <c r="E70" s="242" t="s">
        <v>523</v>
      </c>
      <c r="F70" s="242" t="s">
        <v>361</v>
      </c>
      <c r="G70" s="374">
        <f>G71</f>
        <v>205.5</v>
      </c>
      <c r="H70" s="374">
        <f>H71</f>
        <v>204.8</v>
      </c>
      <c r="I70" s="403">
        <f t="shared" si="0"/>
        <v>0.99659367396593679</v>
      </c>
    </row>
    <row r="71" spans="1:13" ht="36" x14ac:dyDescent="0.2">
      <c r="A71" s="245" t="s">
        <v>463</v>
      </c>
      <c r="B71" s="241" t="s">
        <v>328</v>
      </c>
      <c r="C71" s="242" t="s">
        <v>136</v>
      </c>
      <c r="D71" s="242" t="s">
        <v>187</v>
      </c>
      <c r="E71" s="242" t="s">
        <v>523</v>
      </c>
      <c r="F71" s="242" t="s">
        <v>265</v>
      </c>
      <c r="G71" s="374">
        <v>205.5</v>
      </c>
      <c r="H71" s="153">
        <v>204.8</v>
      </c>
      <c r="I71" s="403">
        <f t="shared" si="0"/>
        <v>0.99659367396593679</v>
      </c>
      <c r="M71" s="260"/>
    </row>
    <row r="72" spans="1:13" ht="36" x14ac:dyDescent="0.2">
      <c r="A72" s="276" t="s">
        <v>493</v>
      </c>
      <c r="B72" s="277" t="s">
        <v>434</v>
      </c>
      <c r="C72" s="273" t="s">
        <v>136</v>
      </c>
      <c r="D72" s="273" t="s">
        <v>187</v>
      </c>
      <c r="E72" s="273" t="s">
        <v>529</v>
      </c>
      <c r="F72" s="273"/>
      <c r="G72" s="373">
        <f t="shared" ref="G72:H72" si="7">G74</f>
        <v>441.4</v>
      </c>
      <c r="H72" s="373">
        <f t="shared" si="7"/>
        <v>439.4</v>
      </c>
      <c r="I72" s="403">
        <f t="shared" si="0"/>
        <v>0.9954689623923878</v>
      </c>
    </row>
    <row r="73" spans="1:13" ht="28.5" customHeight="1" x14ac:dyDescent="0.2">
      <c r="A73" s="245" t="s">
        <v>464</v>
      </c>
      <c r="B73" s="328" t="s">
        <v>362</v>
      </c>
      <c r="C73" s="242" t="s">
        <v>136</v>
      </c>
      <c r="D73" s="242" t="s">
        <v>187</v>
      </c>
      <c r="E73" s="242" t="s">
        <v>529</v>
      </c>
      <c r="F73" s="242" t="s">
        <v>361</v>
      </c>
      <c r="G73" s="374">
        <f>G74</f>
        <v>441.4</v>
      </c>
      <c r="H73" s="374">
        <f>H74</f>
        <v>439.4</v>
      </c>
      <c r="I73" s="403">
        <f t="shared" si="0"/>
        <v>0.9954689623923878</v>
      </c>
    </row>
    <row r="74" spans="1:13" ht="26.25" customHeight="1" x14ac:dyDescent="0.2">
      <c r="A74" s="245" t="s">
        <v>465</v>
      </c>
      <c r="B74" s="241" t="s">
        <v>328</v>
      </c>
      <c r="C74" s="242" t="s">
        <v>136</v>
      </c>
      <c r="D74" s="242" t="s">
        <v>187</v>
      </c>
      <c r="E74" s="242" t="s">
        <v>529</v>
      </c>
      <c r="F74" s="242" t="s">
        <v>265</v>
      </c>
      <c r="G74" s="374">
        <f>400-19.1+60.5</f>
        <v>441.4</v>
      </c>
      <c r="H74" s="153">
        <v>439.4</v>
      </c>
      <c r="I74" s="403">
        <f t="shared" ref="I74:I137" si="8">H74/G74</f>
        <v>0.9954689623923878</v>
      </c>
    </row>
    <row r="75" spans="1:13" ht="36" x14ac:dyDescent="0.2">
      <c r="A75" s="276" t="s">
        <v>466</v>
      </c>
      <c r="B75" s="277" t="s">
        <v>480</v>
      </c>
      <c r="C75" s="273" t="s">
        <v>136</v>
      </c>
      <c r="D75" s="273" t="s">
        <v>187</v>
      </c>
      <c r="E75" s="273" t="s">
        <v>524</v>
      </c>
      <c r="F75" s="273"/>
      <c r="G75" s="373">
        <f t="shared" ref="G75:H75" si="9">G77</f>
        <v>29.6</v>
      </c>
      <c r="H75" s="373">
        <f t="shared" si="9"/>
        <v>29.6</v>
      </c>
      <c r="I75" s="403">
        <f t="shared" si="8"/>
        <v>1</v>
      </c>
    </row>
    <row r="76" spans="1:13" ht="30.75" customHeight="1" x14ac:dyDescent="0.2">
      <c r="A76" s="245" t="s">
        <v>467</v>
      </c>
      <c r="B76" s="328" t="s">
        <v>362</v>
      </c>
      <c r="C76" s="242" t="s">
        <v>136</v>
      </c>
      <c r="D76" s="242" t="s">
        <v>187</v>
      </c>
      <c r="E76" s="242" t="s">
        <v>524</v>
      </c>
      <c r="F76" s="242" t="s">
        <v>361</v>
      </c>
      <c r="G76" s="374">
        <f>G77</f>
        <v>29.6</v>
      </c>
      <c r="H76" s="374">
        <f>H77</f>
        <v>29.6</v>
      </c>
      <c r="I76" s="403">
        <f t="shared" si="8"/>
        <v>1</v>
      </c>
    </row>
    <row r="77" spans="1:13" ht="36" x14ac:dyDescent="0.2">
      <c r="A77" s="245" t="s">
        <v>468</v>
      </c>
      <c r="B77" s="241" t="s">
        <v>328</v>
      </c>
      <c r="C77" s="242" t="s">
        <v>136</v>
      </c>
      <c r="D77" s="242" t="s">
        <v>187</v>
      </c>
      <c r="E77" s="242" t="s">
        <v>524</v>
      </c>
      <c r="F77" s="242" t="s">
        <v>265</v>
      </c>
      <c r="G77" s="374">
        <v>29.6</v>
      </c>
      <c r="H77" s="153">
        <v>29.6</v>
      </c>
      <c r="I77" s="403">
        <f t="shared" si="8"/>
        <v>1</v>
      </c>
    </row>
    <row r="78" spans="1:13" ht="36" x14ac:dyDescent="0.2">
      <c r="A78" s="276" t="s">
        <v>469</v>
      </c>
      <c r="B78" s="277" t="s">
        <v>268</v>
      </c>
      <c r="C78" s="273" t="s">
        <v>136</v>
      </c>
      <c r="D78" s="273" t="s">
        <v>187</v>
      </c>
      <c r="E78" s="273" t="s">
        <v>526</v>
      </c>
      <c r="F78" s="273"/>
      <c r="G78" s="373">
        <f t="shared" ref="G78:H78" si="10">G80</f>
        <v>60</v>
      </c>
      <c r="H78" s="373">
        <f t="shared" si="10"/>
        <v>60</v>
      </c>
      <c r="I78" s="403">
        <f t="shared" si="8"/>
        <v>1</v>
      </c>
    </row>
    <row r="79" spans="1:13" ht="24" x14ac:dyDescent="0.2">
      <c r="A79" s="251" t="s">
        <v>470</v>
      </c>
      <c r="B79" s="250" t="s">
        <v>367</v>
      </c>
      <c r="C79" s="242" t="s">
        <v>136</v>
      </c>
      <c r="D79" s="242" t="s">
        <v>187</v>
      </c>
      <c r="E79" s="242" t="s">
        <v>526</v>
      </c>
      <c r="F79" s="242" t="s">
        <v>366</v>
      </c>
      <c r="G79" s="374">
        <f>G80</f>
        <v>60</v>
      </c>
      <c r="H79" s="374">
        <f>H80</f>
        <v>60</v>
      </c>
      <c r="I79" s="403">
        <f t="shared" si="8"/>
        <v>1</v>
      </c>
    </row>
    <row r="80" spans="1:13" ht="24" x14ac:dyDescent="0.2">
      <c r="A80" s="251" t="s">
        <v>471</v>
      </c>
      <c r="B80" s="250" t="s">
        <v>369</v>
      </c>
      <c r="C80" s="242" t="s">
        <v>136</v>
      </c>
      <c r="D80" s="242" t="s">
        <v>187</v>
      </c>
      <c r="E80" s="242" t="s">
        <v>526</v>
      </c>
      <c r="F80" s="242" t="s">
        <v>368</v>
      </c>
      <c r="G80" s="374">
        <v>60</v>
      </c>
      <c r="H80" s="153">
        <v>60</v>
      </c>
      <c r="I80" s="403">
        <f t="shared" si="8"/>
        <v>1</v>
      </c>
    </row>
    <row r="81" spans="1:9" ht="60" x14ac:dyDescent="0.2">
      <c r="A81" s="276" t="s">
        <v>472</v>
      </c>
      <c r="B81" s="277" t="s">
        <v>495</v>
      </c>
      <c r="C81" s="273" t="s">
        <v>136</v>
      </c>
      <c r="D81" s="273" t="s">
        <v>187</v>
      </c>
      <c r="E81" s="273" t="s">
        <v>527</v>
      </c>
      <c r="F81" s="273"/>
      <c r="G81" s="379">
        <f>G83</f>
        <v>25.3</v>
      </c>
      <c r="H81" s="379">
        <f>H83</f>
        <v>25.3</v>
      </c>
      <c r="I81" s="403">
        <f t="shared" si="8"/>
        <v>1</v>
      </c>
    </row>
    <row r="82" spans="1:9" ht="34.5" customHeight="1" x14ac:dyDescent="0.2">
      <c r="A82" s="245" t="s">
        <v>473</v>
      </c>
      <c r="B82" s="328" t="s">
        <v>362</v>
      </c>
      <c r="C82" s="248" t="s">
        <v>136</v>
      </c>
      <c r="D82" s="248" t="s">
        <v>187</v>
      </c>
      <c r="E82" s="242" t="s">
        <v>527</v>
      </c>
      <c r="F82" s="248" t="s">
        <v>361</v>
      </c>
      <c r="G82" s="374">
        <f>G83</f>
        <v>25.3</v>
      </c>
      <c r="H82" s="374">
        <f>H83</f>
        <v>25.3</v>
      </c>
      <c r="I82" s="403">
        <f t="shared" si="8"/>
        <v>1</v>
      </c>
    </row>
    <row r="83" spans="1:9" ht="24.75" customHeight="1" x14ac:dyDescent="0.2">
      <c r="A83" s="245" t="s">
        <v>474</v>
      </c>
      <c r="B83" s="241" t="s">
        <v>328</v>
      </c>
      <c r="C83" s="248" t="s">
        <v>136</v>
      </c>
      <c r="D83" s="248" t="s">
        <v>187</v>
      </c>
      <c r="E83" s="242" t="s">
        <v>527</v>
      </c>
      <c r="F83" s="248" t="s">
        <v>265</v>
      </c>
      <c r="G83" s="374">
        <v>25.3</v>
      </c>
      <c r="H83" s="153">
        <v>25.3</v>
      </c>
      <c r="I83" s="403">
        <f t="shared" si="8"/>
        <v>1</v>
      </c>
    </row>
    <row r="84" spans="1:9" ht="48" x14ac:dyDescent="0.2">
      <c r="A84" s="276" t="s">
        <v>481</v>
      </c>
      <c r="B84" s="277" t="s">
        <v>498</v>
      </c>
      <c r="C84" s="273" t="s">
        <v>136</v>
      </c>
      <c r="D84" s="273" t="s">
        <v>187</v>
      </c>
      <c r="E84" s="273" t="s">
        <v>525</v>
      </c>
      <c r="F84" s="273"/>
      <c r="G84" s="373">
        <f>G86</f>
        <v>100.9</v>
      </c>
      <c r="H84" s="373">
        <f>H86</f>
        <v>100.9</v>
      </c>
      <c r="I84" s="403">
        <f t="shared" si="8"/>
        <v>1</v>
      </c>
    </row>
    <row r="85" spans="1:9" ht="24.75" customHeight="1" x14ac:dyDescent="0.2">
      <c r="A85" s="245" t="s">
        <v>482</v>
      </c>
      <c r="B85" s="328" t="s">
        <v>362</v>
      </c>
      <c r="C85" s="242" t="s">
        <v>136</v>
      </c>
      <c r="D85" s="242" t="s">
        <v>187</v>
      </c>
      <c r="E85" s="242" t="s">
        <v>525</v>
      </c>
      <c r="F85" s="242" t="s">
        <v>361</v>
      </c>
      <c r="G85" s="374">
        <f>G86</f>
        <v>100.9</v>
      </c>
      <c r="H85" s="374">
        <f>H86</f>
        <v>100.9</v>
      </c>
      <c r="I85" s="403">
        <f t="shared" si="8"/>
        <v>1</v>
      </c>
    </row>
    <row r="86" spans="1:9" ht="36" x14ac:dyDescent="0.2">
      <c r="A86" s="245" t="s">
        <v>483</v>
      </c>
      <c r="B86" s="241" t="s">
        <v>328</v>
      </c>
      <c r="C86" s="242" t="s">
        <v>136</v>
      </c>
      <c r="D86" s="242" t="s">
        <v>187</v>
      </c>
      <c r="E86" s="242" t="s">
        <v>525</v>
      </c>
      <c r="F86" s="242" t="s">
        <v>265</v>
      </c>
      <c r="G86" s="374">
        <f>100+0.9</f>
        <v>100.9</v>
      </c>
      <c r="H86" s="153">
        <v>100.9</v>
      </c>
      <c r="I86" s="403">
        <f t="shared" si="8"/>
        <v>1</v>
      </c>
    </row>
    <row r="87" spans="1:9" ht="60" x14ac:dyDescent="0.2">
      <c r="A87" s="276" t="s">
        <v>508</v>
      </c>
      <c r="B87" s="277" t="s">
        <v>436</v>
      </c>
      <c r="C87" s="273" t="s">
        <v>136</v>
      </c>
      <c r="D87" s="273" t="s">
        <v>187</v>
      </c>
      <c r="E87" s="273" t="s">
        <v>528</v>
      </c>
      <c r="F87" s="273"/>
      <c r="G87" s="373">
        <f>G89</f>
        <v>0.49999999999999989</v>
      </c>
      <c r="H87" s="373">
        <f>H89</f>
        <v>0.5</v>
      </c>
      <c r="I87" s="403">
        <f t="shared" si="8"/>
        <v>1.0000000000000002</v>
      </c>
    </row>
    <row r="88" spans="1:9" ht="26.25" customHeight="1" x14ac:dyDescent="0.2">
      <c r="A88" s="245" t="s">
        <v>509</v>
      </c>
      <c r="B88" s="328" t="s">
        <v>362</v>
      </c>
      <c r="C88" s="242" t="s">
        <v>136</v>
      </c>
      <c r="D88" s="242" t="s">
        <v>187</v>
      </c>
      <c r="E88" s="242" t="s">
        <v>528</v>
      </c>
      <c r="F88" s="242" t="s">
        <v>361</v>
      </c>
      <c r="G88" s="374">
        <f>G89</f>
        <v>0.49999999999999989</v>
      </c>
      <c r="H88" s="374">
        <f>H89</f>
        <v>0.5</v>
      </c>
      <c r="I88" s="403">
        <f t="shared" si="8"/>
        <v>1.0000000000000002</v>
      </c>
    </row>
    <row r="89" spans="1:9" ht="36.75" thickBot="1" x14ac:dyDescent="0.25">
      <c r="A89" s="245" t="s">
        <v>510</v>
      </c>
      <c r="B89" s="241" t="s">
        <v>328</v>
      </c>
      <c r="C89" s="242" t="s">
        <v>136</v>
      </c>
      <c r="D89" s="242" t="s">
        <v>187</v>
      </c>
      <c r="E89" s="242" t="s">
        <v>528</v>
      </c>
      <c r="F89" s="242" t="s">
        <v>265</v>
      </c>
      <c r="G89" s="374">
        <f>1.4-0.9</f>
        <v>0.49999999999999989</v>
      </c>
      <c r="H89" s="153">
        <v>0.5</v>
      </c>
      <c r="I89" s="403">
        <f t="shared" si="8"/>
        <v>1.0000000000000002</v>
      </c>
    </row>
    <row r="90" spans="1:9" ht="24.75" thickBot="1" x14ac:dyDescent="0.25">
      <c r="A90" s="283" t="s">
        <v>48</v>
      </c>
      <c r="B90" s="284" t="s">
        <v>35</v>
      </c>
      <c r="C90" s="285" t="s">
        <v>136</v>
      </c>
      <c r="D90" s="285" t="s">
        <v>29</v>
      </c>
      <c r="E90" s="285"/>
      <c r="F90" s="285"/>
      <c r="G90" s="380">
        <f>G91</f>
        <v>26.5</v>
      </c>
      <c r="H90" s="380">
        <f>H91</f>
        <v>26.5</v>
      </c>
      <c r="I90" s="403">
        <f t="shared" si="8"/>
        <v>1</v>
      </c>
    </row>
    <row r="91" spans="1:9" ht="24" x14ac:dyDescent="0.2">
      <c r="A91" s="286" t="s">
        <v>62</v>
      </c>
      <c r="B91" s="287" t="s">
        <v>185</v>
      </c>
      <c r="C91" s="272" t="s">
        <v>136</v>
      </c>
      <c r="D91" s="272" t="s">
        <v>20</v>
      </c>
      <c r="E91" s="272"/>
      <c r="F91" s="272"/>
      <c r="G91" s="372">
        <f>G94+G97</f>
        <v>26.5</v>
      </c>
      <c r="H91" s="372">
        <f>H94+H97</f>
        <v>26.5</v>
      </c>
      <c r="I91" s="403">
        <f t="shared" si="8"/>
        <v>1</v>
      </c>
    </row>
    <row r="92" spans="1:9" ht="24" hidden="1" x14ac:dyDescent="0.2">
      <c r="A92" s="245" t="s">
        <v>63</v>
      </c>
      <c r="B92" s="277" t="s">
        <v>166</v>
      </c>
      <c r="C92" s="242" t="s">
        <v>136</v>
      </c>
      <c r="D92" s="242" t="s">
        <v>20</v>
      </c>
      <c r="E92" s="242" t="s">
        <v>181</v>
      </c>
      <c r="F92" s="242"/>
      <c r="G92" s="374">
        <f>G93</f>
        <v>0</v>
      </c>
      <c r="H92" s="153"/>
      <c r="I92" s="403" t="e">
        <f t="shared" si="8"/>
        <v>#DIV/0!</v>
      </c>
    </row>
    <row r="93" spans="1:9" hidden="1" x14ac:dyDescent="0.2">
      <c r="A93" s="245" t="s">
        <v>167</v>
      </c>
      <c r="B93" s="250" t="s">
        <v>262</v>
      </c>
      <c r="C93" s="242" t="s">
        <v>136</v>
      </c>
      <c r="D93" s="242" t="s">
        <v>20</v>
      </c>
      <c r="E93" s="242" t="s">
        <v>181</v>
      </c>
      <c r="F93" s="242" t="s">
        <v>263</v>
      </c>
      <c r="G93" s="374"/>
      <c r="H93" s="153"/>
      <c r="I93" s="403" t="e">
        <f t="shared" si="8"/>
        <v>#DIV/0!</v>
      </c>
    </row>
    <row r="94" spans="1:9" ht="84" x14ac:dyDescent="0.2">
      <c r="A94" s="279" t="s">
        <v>63</v>
      </c>
      <c r="B94" s="277" t="s">
        <v>443</v>
      </c>
      <c r="C94" s="273" t="s">
        <v>136</v>
      </c>
      <c r="D94" s="273" t="s">
        <v>20</v>
      </c>
      <c r="E94" s="296" t="s">
        <v>530</v>
      </c>
      <c r="F94" s="273"/>
      <c r="G94" s="373">
        <f>G95</f>
        <v>5.3</v>
      </c>
      <c r="H94" s="373">
        <f>H95</f>
        <v>5.3</v>
      </c>
      <c r="I94" s="403">
        <f t="shared" si="8"/>
        <v>1</v>
      </c>
    </row>
    <row r="95" spans="1:9" ht="33" customHeight="1" x14ac:dyDescent="0.2">
      <c r="A95" s="251" t="s">
        <v>167</v>
      </c>
      <c r="B95" s="328" t="s">
        <v>362</v>
      </c>
      <c r="C95" s="248" t="s">
        <v>136</v>
      </c>
      <c r="D95" s="248" t="s">
        <v>20</v>
      </c>
      <c r="E95" s="248" t="s">
        <v>530</v>
      </c>
      <c r="F95" s="248" t="s">
        <v>361</v>
      </c>
      <c r="G95" s="375">
        <f>G96</f>
        <v>5.3</v>
      </c>
      <c r="H95" s="375">
        <f>H96</f>
        <v>5.3</v>
      </c>
      <c r="I95" s="403">
        <f t="shared" si="8"/>
        <v>1</v>
      </c>
    </row>
    <row r="96" spans="1:9" ht="36" x14ac:dyDescent="0.2">
      <c r="A96" s="251" t="s">
        <v>377</v>
      </c>
      <c r="B96" s="241" t="s">
        <v>328</v>
      </c>
      <c r="C96" s="248" t="s">
        <v>136</v>
      </c>
      <c r="D96" s="248" t="s">
        <v>20</v>
      </c>
      <c r="E96" s="248" t="s">
        <v>530</v>
      </c>
      <c r="F96" s="248" t="s">
        <v>265</v>
      </c>
      <c r="G96" s="375">
        <v>5.3</v>
      </c>
      <c r="H96" s="153">
        <v>5.3</v>
      </c>
      <c r="I96" s="403">
        <f t="shared" si="8"/>
        <v>1</v>
      </c>
    </row>
    <row r="97" spans="1:9" ht="60" x14ac:dyDescent="0.2">
      <c r="A97" s="279" t="s">
        <v>399</v>
      </c>
      <c r="B97" s="277" t="s">
        <v>444</v>
      </c>
      <c r="C97" s="273" t="s">
        <v>136</v>
      </c>
      <c r="D97" s="273" t="s">
        <v>20</v>
      </c>
      <c r="E97" s="296" t="s">
        <v>531</v>
      </c>
      <c r="F97" s="273"/>
      <c r="G97" s="373">
        <f>G98</f>
        <v>21.2</v>
      </c>
      <c r="H97" s="373">
        <f>H98</f>
        <v>21.2</v>
      </c>
      <c r="I97" s="403">
        <f t="shared" si="8"/>
        <v>1</v>
      </c>
    </row>
    <row r="98" spans="1:9" ht="31.5" customHeight="1" x14ac:dyDescent="0.2">
      <c r="A98" s="251" t="s">
        <v>400</v>
      </c>
      <c r="B98" s="328" t="s">
        <v>362</v>
      </c>
      <c r="C98" s="248" t="s">
        <v>136</v>
      </c>
      <c r="D98" s="248" t="s">
        <v>20</v>
      </c>
      <c r="E98" s="248" t="s">
        <v>531</v>
      </c>
      <c r="F98" s="248" t="s">
        <v>361</v>
      </c>
      <c r="G98" s="375">
        <f>G99</f>
        <v>21.2</v>
      </c>
      <c r="H98" s="375">
        <f>H99</f>
        <v>21.2</v>
      </c>
      <c r="I98" s="403">
        <f t="shared" si="8"/>
        <v>1</v>
      </c>
    </row>
    <row r="99" spans="1:9" ht="36.75" thickBot="1" x14ac:dyDescent="0.25">
      <c r="A99" s="251" t="s">
        <v>401</v>
      </c>
      <c r="B99" s="241" t="s">
        <v>328</v>
      </c>
      <c r="C99" s="248" t="s">
        <v>136</v>
      </c>
      <c r="D99" s="248" t="s">
        <v>20</v>
      </c>
      <c r="E99" s="248" t="s">
        <v>531</v>
      </c>
      <c r="F99" s="248" t="s">
        <v>265</v>
      </c>
      <c r="G99" s="375">
        <v>21.2</v>
      </c>
      <c r="H99" s="153">
        <v>21.2</v>
      </c>
      <c r="I99" s="403">
        <f t="shared" si="8"/>
        <v>1</v>
      </c>
    </row>
    <row r="100" spans="1:9" ht="13.5" thickBot="1" x14ac:dyDescent="0.25">
      <c r="A100" s="283" t="s">
        <v>74</v>
      </c>
      <c r="B100" s="288" t="s">
        <v>335</v>
      </c>
      <c r="C100" s="285" t="s">
        <v>136</v>
      </c>
      <c r="D100" s="285" t="s">
        <v>336</v>
      </c>
      <c r="E100" s="285"/>
      <c r="F100" s="285"/>
      <c r="G100" s="380">
        <f>G101+G105+G110</f>
        <v>25504.999999999996</v>
      </c>
      <c r="H100" s="380">
        <f>H101+H105+H110</f>
        <v>25181.899999999998</v>
      </c>
      <c r="I100" s="403">
        <f t="shared" si="8"/>
        <v>0.98733189570672419</v>
      </c>
    </row>
    <row r="101" spans="1:9" ht="24.75" thickBot="1" x14ac:dyDescent="0.25">
      <c r="A101" s="283" t="s">
        <v>64</v>
      </c>
      <c r="B101" s="284" t="s">
        <v>441</v>
      </c>
      <c r="C101" s="285" t="s">
        <v>136</v>
      </c>
      <c r="D101" s="285" t="s">
        <v>438</v>
      </c>
      <c r="E101" s="285"/>
      <c r="F101" s="285"/>
      <c r="G101" s="380">
        <f t="shared" ref="G101:H103" si="11">G102</f>
        <v>59.3</v>
      </c>
      <c r="H101" s="380">
        <f t="shared" si="11"/>
        <v>58.8</v>
      </c>
      <c r="I101" s="403">
        <f t="shared" si="8"/>
        <v>0.99156829679595282</v>
      </c>
    </row>
    <row r="102" spans="1:9" ht="33" customHeight="1" x14ac:dyDescent="0.2">
      <c r="A102" s="286" t="s">
        <v>65</v>
      </c>
      <c r="B102" s="289" t="s">
        <v>619</v>
      </c>
      <c r="C102" s="290">
        <v>993</v>
      </c>
      <c r="D102" s="272" t="s">
        <v>438</v>
      </c>
      <c r="E102" s="273" t="s">
        <v>534</v>
      </c>
      <c r="F102" s="272"/>
      <c r="G102" s="372">
        <f t="shared" si="11"/>
        <v>59.3</v>
      </c>
      <c r="H102" s="372">
        <f t="shared" si="11"/>
        <v>58.8</v>
      </c>
      <c r="I102" s="403">
        <f t="shared" si="8"/>
        <v>0.99156829679595282</v>
      </c>
    </row>
    <row r="103" spans="1:9" ht="22.5" customHeight="1" x14ac:dyDescent="0.2">
      <c r="A103" s="245" t="s">
        <v>138</v>
      </c>
      <c r="B103" s="328" t="s">
        <v>440</v>
      </c>
      <c r="C103" s="246">
        <v>993</v>
      </c>
      <c r="D103" s="242" t="s">
        <v>438</v>
      </c>
      <c r="E103" s="242" t="s">
        <v>534</v>
      </c>
      <c r="F103" s="242" t="s">
        <v>366</v>
      </c>
      <c r="G103" s="374">
        <f t="shared" si="11"/>
        <v>59.3</v>
      </c>
      <c r="H103" s="374">
        <f t="shared" si="11"/>
        <v>58.8</v>
      </c>
      <c r="I103" s="403">
        <f t="shared" si="8"/>
        <v>0.99156829679595282</v>
      </c>
    </row>
    <row r="104" spans="1:9" ht="42.75" customHeight="1" thickBot="1" x14ac:dyDescent="0.25">
      <c r="A104" s="245" t="s">
        <v>378</v>
      </c>
      <c r="B104" s="241" t="s">
        <v>442</v>
      </c>
      <c r="C104" s="246">
        <v>993</v>
      </c>
      <c r="D104" s="242" t="s">
        <v>438</v>
      </c>
      <c r="E104" s="242" t="s">
        <v>534</v>
      </c>
      <c r="F104" s="242" t="s">
        <v>439</v>
      </c>
      <c r="G104" s="374">
        <v>59.3</v>
      </c>
      <c r="H104" s="153">
        <v>58.8</v>
      </c>
      <c r="I104" s="403">
        <f t="shared" si="8"/>
        <v>0.99156829679595282</v>
      </c>
    </row>
    <row r="105" spans="1:9" ht="13.5" thickBot="1" x14ac:dyDescent="0.25">
      <c r="A105" s="283" t="s">
        <v>299</v>
      </c>
      <c r="B105" s="284" t="s">
        <v>230</v>
      </c>
      <c r="C105" s="285" t="s">
        <v>136</v>
      </c>
      <c r="D105" s="285" t="s">
        <v>229</v>
      </c>
      <c r="E105" s="285"/>
      <c r="F105" s="285"/>
      <c r="G105" s="380">
        <f>G106</f>
        <v>25389.699999999997</v>
      </c>
      <c r="H105" s="380">
        <f>H106</f>
        <v>25067.3</v>
      </c>
      <c r="I105" s="403">
        <f t="shared" si="8"/>
        <v>0.98730193739981187</v>
      </c>
    </row>
    <row r="106" spans="1:9" ht="24" x14ac:dyDescent="0.2">
      <c r="A106" s="286" t="s">
        <v>301</v>
      </c>
      <c r="B106" s="289" t="s">
        <v>269</v>
      </c>
      <c r="C106" s="290">
        <v>993</v>
      </c>
      <c r="D106" s="272" t="s">
        <v>229</v>
      </c>
      <c r="E106" s="273" t="s">
        <v>532</v>
      </c>
      <c r="F106" s="272"/>
      <c r="G106" s="372">
        <f>G108+G109</f>
        <v>25389.699999999997</v>
      </c>
      <c r="H106" s="372">
        <f>H108+H109</f>
        <v>25067.3</v>
      </c>
      <c r="I106" s="403">
        <f t="shared" si="8"/>
        <v>0.98730193739981187</v>
      </c>
    </row>
    <row r="107" spans="1:9" ht="31.5" customHeight="1" x14ac:dyDescent="0.2">
      <c r="A107" s="245" t="s">
        <v>485</v>
      </c>
      <c r="B107" s="328" t="s">
        <v>362</v>
      </c>
      <c r="C107" s="246">
        <v>993</v>
      </c>
      <c r="D107" s="242" t="s">
        <v>229</v>
      </c>
      <c r="E107" s="242" t="s">
        <v>532</v>
      </c>
      <c r="F107" s="242" t="s">
        <v>361</v>
      </c>
      <c r="G107" s="374">
        <f>G108</f>
        <v>25389.699999999997</v>
      </c>
      <c r="H107" s="374">
        <f>H108</f>
        <v>25067.3</v>
      </c>
      <c r="I107" s="403">
        <f t="shared" si="8"/>
        <v>0.98730193739981187</v>
      </c>
    </row>
    <row r="108" spans="1:9" ht="36.75" thickBot="1" x14ac:dyDescent="0.25">
      <c r="A108" s="245" t="s">
        <v>486</v>
      </c>
      <c r="B108" s="241" t="s">
        <v>328</v>
      </c>
      <c r="C108" s="246">
        <v>993</v>
      </c>
      <c r="D108" s="242" t="s">
        <v>229</v>
      </c>
      <c r="E108" s="242" t="s">
        <v>532</v>
      </c>
      <c r="F108" s="242" t="s">
        <v>265</v>
      </c>
      <c r="G108" s="374">
        <f>24772.3-71.2+188.6+500</f>
        <v>25389.699999999997</v>
      </c>
      <c r="H108" s="153">
        <v>25067.3</v>
      </c>
      <c r="I108" s="403">
        <f t="shared" si="8"/>
        <v>0.98730193739981187</v>
      </c>
    </row>
    <row r="109" spans="1:9" ht="36.75" hidden="1" thickBot="1" x14ac:dyDescent="0.25">
      <c r="A109" s="251" t="s">
        <v>223</v>
      </c>
      <c r="B109" s="291" t="s">
        <v>228</v>
      </c>
      <c r="C109" s="252">
        <v>993</v>
      </c>
      <c r="D109" s="248" t="s">
        <v>229</v>
      </c>
      <c r="E109" s="248" t="s">
        <v>231</v>
      </c>
      <c r="F109" s="248" t="s">
        <v>224</v>
      </c>
      <c r="G109" s="375"/>
      <c r="H109" s="153"/>
      <c r="I109" s="403" t="e">
        <f t="shared" si="8"/>
        <v>#DIV/0!</v>
      </c>
    </row>
    <row r="110" spans="1:9" ht="24.75" thickBot="1" x14ac:dyDescent="0.25">
      <c r="A110" s="283" t="s">
        <v>484</v>
      </c>
      <c r="B110" s="284" t="s">
        <v>491</v>
      </c>
      <c r="C110" s="285" t="s">
        <v>136</v>
      </c>
      <c r="D110" s="285" t="s">
        <v>490</v>
      </c>
      <c r="E110" s="285"/>
      <c r="F110" s="285"/>
      <c r="G110" s="380">
        <f t="shared" ref="G110:H112" si="12">G111</f>
        <v>56</v>
      </c>
      <c r="H110" s="380">
        <f t="shared" si="12"/>
        <v>55.8</v>
      </c>
      <c r="I110" s="403">
        <f t="shared" si="8"/>
        <v>0.99642857142857133</v>
      </c>
    </row>
    <row r="111" spans="1:9" ht="24" x14ac:dyDescent="0.2">
      <c r="A111" s="286" t="s">
        <v>487</v>
      </c>
      <c r="B111" s="289" t="s">
        <v>492</v>
      </c>
      <c r="C111" s="290">
        <v>993</v>
      </c>
      <c r="D111" s="272" t="s">
        <v>490</v>
      </c>
      <c r="E111" s="273" t="s">
        <v>533</v>
      </c>
      <c r="F111" s="272"/>
      <c r="G111" s="372">
        <f t="shared" si="12"/>
        <v>56</v>
      </c>
      <c r="H111" s="372">
        <f t="shared" si="12"/>
        <v>55.8</v>
      </c>
      <c r="I111" s="403">
        <f t="shared" si="8"/>
        <v>0.99642857142857133</v>
      </c>
    </row>
    <row r="112" spans="1:9" ht="27.75" customHeight="1" x14ac:dyDescent="0.2">
      <c r="A112" s="245" t="s">
        <v>488</v>
      </c>
      <c r="B112" s="328" t="s">
        <v>362</v>
      </c>
      <c r="C112" s="246">
        <v>993</v>
      </c>
      <c r="D112" s="242" t="s">
        <v>490</v>
      </c>
      <c r="E112" s="242" t="s">
        <v>533</v>
      </c>
      <c r="F112" s="242" t="s">
        <v>361</v>
      </c>
      <c r="G112" s="374">
        <f t="shared" si="12"/>
        <v>56</v>
      </c>
      <c r="H112" s="374">
        <f t="shared" si="12"/>
        <v>55.8</v>
      </c>
      <c r="I112" s="403">
        <f t="shared" si="8"/>
        <v>0.99642857142857133</v>
      </c>
    </row>
    <row r="113" spans="1:9" ht="36.75" thickBot="1" x14ac:dyDescent="0.25">
      <c r="A113" s="245" t="s">
        <v>489</v>
      </c>
      <c r="B113" s="241" t="s">
        <v>328</v>
      </c>
      <c r="C113" s="246">
        <v>993</v>
      </c>
      <c r="D113" s="242" t="s">
        <v>490</v>
      </c>
      <c r="E113" s="242" t="s">
        <v>533</v>
      </c>
      <c r="F113" s="242" t="s">
        <v>265</v>
      </c>
      <c r="G113" s="374">
        <v>56</v>
      </c>
      <c r="H113" s="153">
        <v>55.8</v>
      </c>
      <c r="I113" s="403">
        <f t="shared" si="8"/>
        <v>0.99642857142857133</v>
      </c>
    </row>
    <row r="114" spans="1:9" ht="13.5" thickBot="1" x14ac:dyDescent="0.25">
      <c r="A114" s="283" t="s">
        <v>75</v>
      </c>
      <c r="B114" s="284" t="s">
        <v>30</v>
      </c>
      <c r="C114" s="285" t="s">
        <v>136</v>
      </c>
      <c r="D114" s="285" t="s">
        <v>31</v>
      </c>
      <c r="E114" s="285"/>
      <c r="F114" s="285"/>
      <c r="G114" s="380">
        <f>G122</f>
        <v>42645.000000000007</v>
      </c>
      <c r="H114" s="380">
        <f>H122</f>
        <v>41175.499999999993</v>
      </c>
      <c r="I114" s="403">
        <f t="shared" si="8"/>
        <v>0.96554109508734876</v>
      </c>
    </row>
    <row r="115" spans="1:9" ht="24.75" hidden="1" thickBot="1" x14ac:dyDescent="0.25">
      <c r="A115" s="283" t="s">
        <v>66</v>
      </c>
      <c r="B115" s="292" t="s">
        <v>270</v>
      </c>
      <c r="C115" s="285">
        <v>993</v>
      </c>
      <c r="D115" s="285" t="s">
        <v>77</v>
      </c>
      <c r="E115" s="285" t="s">
        <v>184</v>
      </c>
      <c r="F115" s="285"/>
      <c r="G115" s="380">
        <f>G116+G118+G120</f>
        <v>0</v>
      </c>
      <c r="H115" s="153"/>
      <c r="I115" s="403" t="e">
        <f t="shared" si="8"/>
        <v>#DIV/0!</v>
      </c>
    </row>
    <row r="116" spans="1:9" ht="36.75" hidden="1" thickBot="1" x14ac:dyDescent="0.25">
      <c r="A116" s="293" t="s">
        <v>67</v>
      </c>
      <c r="B116" s="294" t="s">
        <v>271</v>
      </c>
      <c r="C116" s="247">
        <v>993</v>
      </c>
      <c r="D116" s="247" t="s">
        <v>77</v>
      </c>
      <c r="E116" s="247" t="s">
        <v>188</v>
      </c>
      <c r="F116" s="247"/>
      <c r="G116" s="374"/>
      <c r="H116" s="153"/>
      <c r="I116" s="403" t="e">
        <f t="shared" si="8"/>
        <v>#DIV/0!</v>
      </c>
    </row>
    <row r="117" spans="1:9" ht="13.5" hidden="1" thickBot="1" x14ac:dyDescent="0.25">
      <c r="A117" s="245" t="s">
        <v>68</v>
      </c>
      <c r="B117" s="250" t="s">
        <v>262</v>
      </c>
      <c r="C117" s="242">
        <v>993</v>
      </c>
      <c r="D117" s="242" t="s">
        <v>77</v>
      </c>
      <c r="E117" s="242" t="s">
        <v>188</v>
      </c>
      <c r="F117" s="242" t="s">
        <v>263</v>
      </c>
      <c r="G117" s="374">
        <f>G118</f>
        <v>0</v>
      </c>
      <c r="H117" s="153"/>
      <c r="I117" s="403" t="e">
        <f t="shared" si="8"/>
        <v>#DIV/0!</v>
      </c>
    </row>
    <row r="118" spans="1:9" ht="13.5" hidden="1" thickBot="1" x14ac:dyDescent="0.25">
      <c r="A118" s="245" t="s">
        <v>272</v>
      </c>
      <c r="B118" s="295" t="s">
        <v>273</v>
      </c>
      <c r="C118" s="242">
        <v>992</v>
      </c>
      <c r="D118" s="242" t="s">
        <v>274</v>
      </c>
      <c r="E118" s="242" t="s">
        <v>275</v>
      </c>
      <c r="F118" s="242"/>
      <c r="G118" s="374">
        <f>G119</f>
        <v>0</v>
      </c>
      <c r="H118" s="153"/>
      <c r="I118" s="403" t="e">
        <f t="shared" si="8"/>
        <v>#DIV/0!</v>
      </c>
    </row>
    <row r="119" spans="1:9" ht="13.5" hidden="1" thickBot="1" x14ac:dyDescent="0.25">
      <c r="A119" s="245" t="s">
        <v>276</v>
      </c>
      <c r="B119" s="295" t="s">
        <v>262</v>
      </c>
      <c r="C119" s="242">
        <v>992</v>
      </c>
      <c r="D119" s="242" t="s">
        <v>274</v>
      </c>
      <c r="E119" s="242" t="s">
        <v>275</v>
      </c>
      <c r="F119" s="242" t="s">
        <v>263</v>
      </c>
      <c r="G119" s="374">
        <f t="shared" ref="G119:G120" si="13">G120</f>
        <v>0</v>
      </c>
      <c r="H119" s="153"/>
      <c r="I119" s="403" t="e">
        <f t="shared" si="8"/>
        <v>#DIV/0!</v>
      </c>
    </row>
    <row r="120" spans="1:9" ht="36.75" hidden="1" thickBot="1" x14ac:dyDescent="0.25">
      <c r="A120" s="245" t="s">
        <v>277</v>
      </c>
      <c r="B120" s="295" t="s">
        <v>278</v>
      </c>
      <c r="C120" s="242">
        <v>992</v>
      </c>
      <c r="D120" s="242" t="s">
        <v>274</v>
      </c>
      <c r="E120" s="242" t="s">
        <v>279</v>
      </c>
      <c r="F120" s="242"/>
      <c r="G120" s="374">
        <f t="shared" si="13"/>
        <v>0</v>
      </c>
      <c r="H120" s="153"/>
      <c r="I120" s="403" t="e">
        <f t="shared" si="8"/>
        <v>#DIV/0!</v>
      </c>
    </row>
    <row r="121" spans="1:9" ht="13.5" hidden="1" thickBot="1" x14ac:dyDescent="0.25">
      <c r="A121" s="251" t="s">
        <v>280</v>
      </c>
      <c r="B121" s="291" t="s">
        <v>262</v>
      </c>
      <c r="C121" s="248">
        <v>992</v>
      </c>
      <c r="D121" s="248" t="s">
        <v>274</v>
      </c>
      <c r="E121" s="248" t="s">
        <v>279</v>
      </c>
      <c r="F121" s="248" t="s">
        <v>263</v>
      </c>
      <c r="G121" s="375"/>
      <c r="H121" s="153"/>
      <c r="I121" s="403" t="e">
        <f t="shared" si="8"/>
        <v>#DIV/0!</v>
      </c>
    </row>
    <row r="122" spans="1:9" ht="13.5" thickBot="1" x14ac:dyDescent="0.25">
      <c r="A122" s="283" t="s">
        <v>66</v>
      </c>
      <c r="B122" s="297" t="s">
        <v>344</v>
      </c>
      <c r="C122" s="285" t="s">
        <v>136</v>
      </c>
      <c r="D122" s="285" t="s">
        <v>77</v>
      </c>
      <c r="E122" s="285"/>
      <c r="F122" s="285"/>
      <c r="G122" s="380">
        <f>G124+G131+G134+G137+G141+G144+G147+G151+G154+G157+G160</f>
        <v>42645.000000000007</v>
      </c>
      <c r="H122" s="380">
        <f>H124+H131+H134+H137+H141+H144+H147+H151+H154+H157+H160</f>
        <v>41175.499999999993</v>
      </c>
      <c r="I122" s="403">
        <f t="shared" si="8"/>
        <v>0.96554109508734876</v>
      </c>
    </row>
    <row r="123" spans="1:9" ht="24.75" thickBot="1" x14ac:dyDescent="0.25">
      <c r="A123" s="283" t="s">
        <v>67</v>
      </c>
      <c r="B123" s="292" t="s">
        <v>446</v>
      </c>
      <c r="C123" s="285">
        <v>993</v>
      </c>
      <c r="D123" s="285" t="s">
        <v>77</v>
      </c>
      <c r="E123" s="285" t="s">
        <v>535</v>
      </c>
      <c r="F123" s="285"/>
      <c r="G123" s="380">
        <f t="shared" ref="G123:H125" si="14">G124</f>
        <v>2855.7</v>
      </c>
      <c r="H123" s="380">
        <f t="shared" si="14"/>
        <v>2854.7</v>
      </c>
      <c r="I123" s="403">
        <f t="shared" si="8"/>
        <v>0.99964982316069617</v>
      </c>
    </row>
    <row r="124" spans="1:9" ht="36" x14ac:dyDescent="0.2">
      <c r="A124" s="286" t="s">
        <v>67</v>
      </c>
      <c r="B124" s="319" t="s">
        <v>271</v>
      </c>
      <c r="C124" s="272">
        <v>993</v>
      </c>
      <c r="D124" s="272" t="s">
        <v>77</v>
      </c>
      <c r="E124" s="320" t="s">
        <v>536</v>
      </c>
      <c r="F124" s="272"/>
      <c r="G124" s="373">
        <f t="shared" si="14"/>
        <v>2855.7</v>
      </c>
      <c r="H124" s="373">
        <f t="shared" si="14"/>
        <v>2854.7</v>
      </c>
      <c r="I124" s="403">
        <f t="shared" si="8"/>
        <v>0.99964982316069617</v>
      </c>
    </row>
    <row r="125" spans="1:9" ht="29.25" customHeight="1" x14ac:dyDescent="0.2">
      <c r="A125" s="245" t="s">
        <v>68</v>
      </c>
      <c r="B125" s="328" t="s">
        <v>362</v>
      </c>
      <c r="C125" s="242">
        <v>993</v>
      </c>
      <c r="D125" s="242" t="s">
        <v>77</v>
      </c>
      <c r="E125" s="242" t="s">
        <v>536</v>
      </c>
      <c r="F125" s="242" t="s">
        <v>361</v>
      </c>
      <c r="G125" s="374">
        <f t="shared" si="14"/>
        <v>2855.7</v>
      </c>
      <c r="H125" s="374">
        <f t="shared" si="14"/>
        <v>2854.7</v>
      </c>
      <c r="I125" s="403">
        <f t="shared" si="8"/>
        <v>0.99964982316069617</v>
      </c>
    </row>
    <row r="126" spans="1:9" ht="30" customHeight="1" thickBot="1" x14ac:dyDescent="0.25">
      <c r="A126" s="245" t="s">
        <v>345</v>
      </c>
      <c r="B126" s="241" t="s">
        <v>328</v>
      </c>
      <c r="C126" s="242">
        <v>993</v>
      </c>
      <c r="D126" s="242" t="s">
        <v>77</v>
      </c>
      <c r="E126" s="242" t="s">
        <v>536</v>
      </c>
      <c r="F126" s="242" t="s">
        <v>265</v>
      </c>
      <c r="G126" s="374">
        <f>2321.2+515.4+19.1</f>
        <v>2855.7</v>
      </c>
      <c r="H126" s="153">
        <v>2854.7</v>
      </c>
      <c r="I126" s="403">
        <f t="shared" si="8"/>
        <v>0.99964982316069617</v>
      </c>
    </row>
    <row r="127" spans="1:9" ht="36.75" thickBot="1" x14ac:dyDescent="0.25">
      <c r="A127" s="283" t="s">
        <v>272</v>
      </c>
      <c r="B127" s="292" t="s">
        <v>281</v>
      </c>
      <c r="C127" s="285">
        <v>993</v>
      </c>
      <c r="D127" s="285" t="s">
        <v>77</v>
      </c>
      <c r="E127" s="285" t="s">
        <v>537</v>
      </c>
      <c r="F127" s="285"/>
      <c r="G127" s="380">
        <f>G131++G134+G137+G128</f>
        <v>11297</v>
      </c>
      <c r="H127" s="380">
        <f>H131++H134+H137+H128</f>
        <v>11269.4</v>
      </c>
      <c r="I127" s="403">
        <f t="shared" si="8"/>
        <v>0.99755687350624056</v>
      </c>
    </row>
    <row r="128" spans="1:9" hidden="1" x14ac:dyDescent="0.2">
      <c r="A128" s="342" t="s">
        <v>276</v>
      </c>
      <c r="B128" s="330" t="s">
        <v>497</v>
      </c>
      <c r="C128" s="331" t="s">
        <v>136</v>
      </c>
      <c r="D128" s="331" t="s">
        <v>77</v>
      </c>
      <c r="E128" s="331" t="s">
        <v>496</v>
      </c>
      <c r="F128" s="331"/>
      <c r="G128" s="381">
        <f>G129</f>
        <v>0</v>
      </c>
      <c r="H128" s="153"/>
      <c r="I128" s="403" t="e">
        <f t="shared" si="8"/>
        <v>#DIV/0!</v>
      </c>
    </row>
    <row r="129" spans="1:9" ht="60" hidden="1" x14ac:dyDescent="0.2">
      <c r="A129" s="341" t="s">
        <v>346</v>
      </c>
      <c r="B129" s="328" t="s">
        <v>362</v>
      </c>
      <c r="C129" s="329" t="s">
        <v>136</v>
      </c>
      <c r="D129" s="329" t="s">
        <v>77</v>
      </c>
      <c r="E129" s="331" t="s">
        <v>496</v>
      </c>
      <c r="F129" s="329" t="s">
        <v>361</v>
      </c>
      <c r="G129" s="374">
        <f>G130</f>
        <v>0</v>
      </c>
      <c r="H129" s="153"/>
      <c r="I129" s="403" t="e">
        <f t="shared" si="8"/>
        <v>#DIV/0!</v>
      </c>
    </row>
    <row r="130" spans="1:9" ht="36" hidden="1" x14ac:dyDescent="0.2">
      <c r="A130" s="341" t="s">
        <v>379</v>
      </c>
      <c r="B130" s="241" t="s">
        <v>328</v>
      </c>
      <c r="C130" s="329" t="s">
        <v>136</v>
      </c>
      <c r="D130" s="329" t="s">
        <v>77</v>
      </c>
      <c r="E130" s="332" t="s">
        <v>496</v>
      </c>
      <c r="F130" s="329" t="s">
        <v>265</v>
      </c>
      <c r="G130" s="374">
        <v>0</v>
      </c>
      <c r="H130" s="153"/>
      <c r="I130" s="403" t="e">
        <f t="shared" si="8"/>
        <v>#DIV/0!</v>
      </c>
    </row>
    <row r="131" spans="1:9" x14ac:dyDescent="0.2">
      <c r="A131" s="343" t="s">
        <v>277</v>
      </c>
      <c r="B131" s="333" t="s">
        <v>282</v>
      </c>
      <c r="C131" s="326" t="s">
        <v>136</v>
      </c>
      <c r="D131" s="326" t="s">
        <v>77</v>
      </c>
      <c r="E131" s="273" t="s">
        <v>538</v>
      </c>
      <c r="F131" s="326"/>
      <c r="G131" s="382">
        <f>G132</f>
        <v>500</v>
      </c>
      <c r="H131" s="382">
        <f>H132</f>
        <v>500</v>
      </c>
      <c r="I131" s="403">
        <f t="shared" si="8"/>
        <v>1</v>
      </c>
    </row>
    <row r="132" spans="1:9" ht="32.25" customHeight="1" x14ac:dyDescent="0.2">
      <c r="A132" s="341" t="s">
        <v>280</v>
      </c>
      <c r="B132" s="328" t="s">
        <v>362</v>
      </c>
      <c r="C132" s="329" t="s">
        <v>136</v>
      </c>
      <c r="D132" s="329" t="s">
        <v>77</v>
      </c>
      <c r="E132" s="242" t="s">
        <v>538</v>
      </c>
      <c r="F132" s="329" t="s">
        <v>361</v>
      </c>
      <c r="G132" s="374">
        <f>G133</f>
        <v>500</v>
      </c>
      <c r="H132" s="374">
        <f>H133</f>
        <v>500</v>
      </c>
      <c r="I132" s="403">
        <f t="shared" si="8"/>
        <v>1</v>
      </c>
    </row>
    <row r="133" spans="1:9" ht="36" x14ac:dyDescent="0.2">
      <c r="A133" s="341" t="s">
        <v>347</v>
      </c>
      <c r="B133" s="241" t="s">
        <v>328</v>
      </c>
      <c r="C133" s="329" t="s">
        <v>136</v>
      </c>
      <c r="D133" s="329" t="s">
        <v>77</v>
      </c>
      <c r="E133" s="247" t="s">
        <v>538</v>
      </c>
      <c r="F133" s="329" t="s">
        <v>265</v>
      </c>
      <c r="G133" s="374">
        <v>500</v>
      </c>
      <c r="H133" s="153">
        <v>500</v>
      </c>
      <c r="I133" s="403">
        <f t="shared" si="8"/>
        <v>1</v>
      </c>
    </row>
    <row r="134" spans="1:9" ht="24" x14ac:dyDescent="0.2">
      <c r="A134" s="344" t="s">
        <v>475</v>
      </c>
      <c r="B134" s="334" t="s">
        <v>78</v>
      </c>
      <c r="C134" s="345" t="s">
        <v>136</v>
      </c>
      <c r="D134" s="326" t="s">
        <v>77</v>
      </c>
      <c r="E134" s="272" t="s">
        <v>539</v>
      </c>
      <c r="F134" s="326"/>
      <c r="G134" s="382">
        <f>G135</f>
        <v>3159.5</v>
      </c>
      <c r="H134" s="382">
        <f>H135</f>
        <v>3132</v>
      </c>
      <c r="I134" s="403">
        <f t="shared" si="8"/>
        <v>0.99129609115366357</v>
      </c>
    </row>
    <row r="135" spans="1:9" ht="27.75" customHeight="1" x14ac:dyDescent="0.2">
      <c r="A135" s="341" t="s">
        <v>476</v>
      </c>
      <c r="B135" s="328" t="s">
        <v>362</v>
      </c>
      <c r="C135" s="346" t="s">
        <v>136</v>
      </c>
      <c r="D135" s="329" t="s">
        <v>77</v>
      </c>
      <c r="E135" s="247" t="s">
        <v>539</v>
      </c>
      <c r="F135" s="329" t="s">
        <v>361</v>
      </c>
      <c r="G135" s="383">
        <f>G136</f>
        <v>3159.5</v>
      </c>
      <c r="H135" s="383">
        <f>H136</f>
        <v>3132</v>
      </c>
      <c r="I135" s="403">
        <f t="shared" si="8"/>
        <v>0.99129609115366357</v>
      </c>
    </row>
    <row r="136" spans="1:9" ht="36" x14ac:dyDescent="0.2">
      <c r="A136" s="341" t="s">
        <v>477</v>
      </c>
      <c r="B136" s="241" t="s">
        <v>328</v>
      </c>
      <c r="C136" s="346" t="s">
        <v>136</v>
      </c>
      <c r="D136" s="329" t="s">
        <v>77</v>
      </c>
      <c r="E136" s="247" t="s">
        <v>539</v>
      </c>
      <c r="F136" s="329" t="s">
        <v>265</v>
      </c>
      <c r="G136" s="383">
        <f>3825-165.5-500</f>
        <v>3159.5</v>
      </c>
      <c r="H136" s="153">
        <v>3132</v>
      </c>
      <c r="I136" s="403">
        <f t="shared" si="8"/>
        <v>0.99129609115366357</v>
      </c>
    </row>
    <row r="137" spans="1:9" x14ac:dyDescent="0.2">
      <c r="A137" s="344" t="s">
        <v>577</v>
      </c>
      <c r="B137" s="335" t="s">
        <v>283</v>
      </c>
      <c r="C137" s="347">
        <v>993</v>
      </c>
      <c r="D137" s="326" t="s">
        <v>77</v>
      </c>
      <c r="E137" s="272" t="s">
        <v>540</v>
      </c>
      <c r="F137" s="326"/>
      <c r="G137" s="382">
        <f>G139</f>
        <v>7637.5</v>
      </c>
      <c r="H137" s="382">
        <f>H139</f>
        <v>7637.4</v>
      </c>
      <c r="I137" s="403">
        <f t="shared" si="8"/>
        <v>0.99998690671031087</v>
      </c>
    </row>
    <row r="138" spans="1:9" ht="35.25" customHeight="1" x14ac:dyDescent="0.2">
      <c r="A138" s="348" t="s">
        <v>586</v>
      </c>
      <c r="B138" s="328" t="s">
        <v>362</v>
      </c>
      <c r="C138" s="349">
        <v>993</v>
      </c>
      <c r="D138" s="336" t="s">
        <v>77</v>
      </c>
      <c r="E138" s="247" t="s">
        <v>540</v>
      </c>
      <c r="F138" s="329" t="s">
        <v>361</v>
      </c>
      <c r="G138" s="374">
        <f>G139</f>
        <v>7637.5</v>
      </c>
      <c r="H138" s="374">
        <f>H139</f>
        <v>7637.4</v>
      </c>
      <c r="I138" s="403">
        <f t="shared" ref="I138:I193" si="15">H138/G138</f>
        <v>0.99998690671031087</v>
      </c>
    </row>
    <row r="139" spans="1:9" ht="36.75" thickBot="1" x14ac:dyDescent="0.25">
      <c r="A139" s="348" t="s">
        <v>585</v>
      </c>
      <c r="B139" s="311" t="s">
        <v>328</v>
      </c>
      <c r="C139" s="349">
        <v>993</v>
      </c>
      <c r="D139" s="336" t="s">
        <v>77</v>
      </c>
      <c r="E139" s="308" t="s">
        <v>540</v>
      </c>
      <c r="F139" s="336" t="s">
        <v>265</v>
      </c>
      <c r="G139" s="375">
        <f>7452.2-20+205.3</f>
        <v>7637.5</v>
      </c>
      <c r="H139" s="153">
        <v>7637.4</v>
      </c>
      <c r="I139" s="403">
        <f t="shared" si="15"/>
        <v>0.99998690671031087</v>
      </c>
    </row>
    <row r="140" spans="1:9" x14ac:dyDescent="0.2">
      <c r="A140" s="313" t="s">
        <v>277</v>
      </c>
      <c r="B140" s="314" t="s">
        <v>284</v>
      </c>
      <c r="C140" s="315">
        <v>993</v>
      </c>
      <c r="D140" s="315" t="s">
        <v>77</v>
      </c>
      <c r="E140" s="315" t="s">
        <v>544</v>
      </c>
      <c r="F140" s="315"/>
      <c r="G140" s="384">
        <f>G141+G144+G147</f>
        <v>6585.7</v>
      </c>
      <c r="H140" s="384">
        <f>H141+H144+H147</f>
        <v>6417.1</v>
      </c>
      <c r="I140" s="403">
        <f t="shared" si="15"/>
        <v>0.97439907678758531</v>
      </c>
    </row>
    <row r="141" spans="1:9" ht="24" x14ac:dyDescent="0.2">
      <c r="A141" s="344" t="s">
        <v>578</v>
      </c>
      <c r="B141" s="337" t="s">
        <v>285</v>
      </c>
      <c r="C141" s="345" t="s">
        <v>136</v>
      </c>
      <c r="D141" s="326" t="s">
        <v>77</v>
      </c>
      <c r="E141" s="273" t="s">
        <v>541</v>
      </c>
      <c r="F141" s="326"/>
      <c r="G141" s="382">
        <f t="shared" ref="G141:H141" si="16">G143</f>
        <v>3362.5</v>
      </c>
      <c r="H141" s="382">
        <f t="shared" si="16"/>
        <v>3250.1</v>
      </c>
      <c r="I141" s="403">
        <f t="shared" si="15"/>
        <v>0.96657249070631968</v>
      </c>
    </row>
    <row r="142" spans="1:9" ht="29.25" customHeight="1" x14ac:dyDescent="0.2">
      <c r="A142" s="341" t="s">
        <v>588</v>
      </c>
      <c r="B142" s="328" t="s">
        <v>362</v>
      </c>
      <c r="C142" s="350" t="s">
        <v>136</v>
      </c>
      <c r="D142" s="331" t="s">
        <v>77</v>
      </c>
      <c r="E142" s="247" t="s">
        <v>541</v>
      </c>
      <c r="F142" s="331" t="s">
        <v>361</v>
      </c>
      <c r="G142" s="374">
        <f>G143</f>
        <v>3362.5</v>
      </c>
      <c r="H142" s="374">
        <f>H143</f>
        <v>3250.1</v>
      </c>
      <c r="I142" s="403">
        <f t="shared" si="15"/>
        <v>0.96657249070631968</v>
      </c>
    </row>
    <row r="143" spans="1:9" ht="36" x14ac:dyDescent="0.2">
      <c r="A143" s="341" t="s">
        <v>587</v>
      </c>
      <c r="B143" s="241" t="s">
        <v>328</v>
      </c>
      <c r="C143" s="350" t="s">
        <v>136</v>
      </c>
      <c r="D143" s="331" t="s">
        <v>77</v>
      </c>
      <c r="E143" s="247" t="s">
        <v>541</v>
      </c>
      <c r="F143" s="331" t="s">
        <v>265</v>
      </c>
      <c r="G143" s="374">
        <f>3162.5+200</f>
        <v>3362.5</v>
      </c>
      <c r="H143" s="153">
        <v>3250.1</v>
      </c>
      <c r="I143" s="403">
        <f t="shared" si="15"/>
        <v>0.96657249070631968</v>
      </c>
    </row>
    <row r="144" spans="1:9" ht="24" x14ac:dyDescent="0.2">
      <c r="A144" s="351" t="s">
        <v>579</v>
      </c>
      <c r="B144" s="338" t="s">
        <v>447</v>
      </c>
      <c r="C144" s="352" t="s">
        <v>136</v>
      </c>
      <c r="D144" s="339" t="s">
        <v>77</v>
      </c>
      <c r="E144" s="272" t="s">
        <v>542</v>
      </c>
      <c r="F144" s="339"/>
      <c r="G144" s="385">
        <f>G146</f>
        <v>3173.2</v>
      </c>
      <c r="H144" s="385">
        <f>H146</f>
        <v>3117</v>
      </c>
      <c r="I144" s="403">
        <f t="shared" si="15"/>
        <v>0.98228917181394182</v>
      </c>
    </row>
    <row r="145" spans="1:9" ht="31.5" customHeight="1" x14ac:dyDescent="0.2">
      <c r="A145" s="341" t="s">
        <v>589</v>
      </c>
      <c r="B145" s="328" t="s">
        <v>362</v>
      </c>
      <c r="C145" s="353" t="s">
        <v>136</v>
      </c>
      <c r="D145" s="336" t="s">
        <v>77</v>
      </c>
      <c r="E145" s="247" t="s">
        <v>542</v>
      </c>
      <c r="F145" s="336" t="s">
        <v>361</v>
      </c>
      <c r="G145" s="374">
        <f>G146</f>
        <v>3173.2</v>
      </c>
      <c r="H145" s="374">
        <f>H146</f>
        <v>3117</v>
      </c>
      <c r="I145" s="403">
        <f t="shared" si="15"/>
        <v>0.98228917181394182</v>
      </c>
    </row>
    <row r="146" spans="1:9" ht="36" x14ac:dyDescent="0.2">
      <c r="A146" s="341" t="s">
        <v>590</v>
      </c>
      <c r="B146" s="241" t="s">
        <v>328</v>
      </c>
      <c r="C146" s="353" t="s">
        <v>136</v>
      </c>
      <c r="D146" s="336" t="s">
        <v>77</v>
      </c>
      <c r="E146" s="247" t="s">
        <v>542</v>
      </c>
      <c r="F146" s="336" t="s">
        <v>265</v>
      </c>
      <c r="G146" s="374">
        <f>3198.5-25.3</f>
        <v>3173.2</v>
      </c>
      <c r="H146" s="153">
        <v>3117</v>
      </c>
      <c r="I146" s="403">
        <f t="shared" si="15"/>
        <v>0.98228917181394182</v>
      </c>
    </row>
    <row r="147" spans="1:9" ht="24" x14ac:dyDescent="0.2">
      <c r="A147" s="351" t="s">
        <v>580</v>
      </c>
      <c r="B147" s="338" t="s">
        <v>511</v>
      </c>
      <c r="C147" s="352" t="s">
        <v>136</v>
      </c>
      <c r="D147" s="339" t="s">
        <v>77</v>
      </c>
      <c r="E147" s="272" t="s">
        <v>543</v>
      </c>
      <c r="F147" s="339"/>
      <c r="G147" s="385">
        <f>G149</f>
        <v>50</v>
      </c>
      <c r="H147" s="385">
        <f>H149</f>
        <v>50</v>
      </c>
      <c r="I147" s="403">
        <f t="shared" si="15"/>
        <v>1</v>
      </c>
    </row>
    <row r="148" spans="1:9" ht="36.75" customHeight="1" x14ac:dyDescent="0.2">
      <c r="A148" s="341" t="s">
        <v>591</v>
      </c>
      <c r="B148" s="328" t="s">
        <v>362</v>
      </c>
      <c r="C148" s="353" t="s">
        <v>136</v>
      </c>
      <c r="D148" s="336" t="s">
        <v>77</v>
      </c>
      <c r="E148" s="247" t="s">
        <v>543</v>
      </c>
      <c r="F148" s="336" t="s">
        <v>361</v>
      </c>
      <c r="G148" s="374">
        <f>G149</f>
        <v>50</v>
      </c>
      <c r="H148" s="374">
        <f>H149</f>
        <v>50</v>
      </c>
      <c r="I148" s="403">
        <f t="shared" si="15"/>
        <v>1</v>
      </c>
    </row>
    <row r="149" spans="1:9" ht="21.75" customHeight="1" thickBot="1" x14ac:dyDescent="0.25">
      <c r="A149" s="341" t="s">
        <v>592</v>
      </c>
      <c r="B149" s="241" t="s">
        <v>328</v>
      </c>
      <c r="C149" s="353" t="s">
        <v>136</v>
      </c>
      <c r="D149" s="336" t="s">
        <v>77</v>
      </c>
      <c r="E149" s="308" t="s">
        <v>543</v>
      </c>
      <c r="F149" s="336" t="s">
        <v>265</v>
      </c>
      <c r="G149" s="374">
        <v>50</v>
      </c>
      <c r="H149" s="153">
        <v>50</v>
      </c>
      <c r="I149" s="403">
        <f t="shared" si="15"/>
        <v>1</v>
      </c>
    </row>
    <row r="150" spans="1:9" x14ac:dyDescent="0.2">
      <c r="A150" s="313" t="s">
        <v>475</v>
      </c>
      <c r="B150" s="314" t="s">
        <v>286</v>
      </c>
      <c r="C150" s="315">
        <v>993</v>
      </c>
      <c r="D150" s="316" t="s">
        <v>77</v>
      </c>
      <c r="E150" s="317" t="s">
        <v>549</v>
      </c>
      <c r="F150" s="318"/>
      <c r="G150" s="384">
        <f>G151+G154+G157+G160</f>
        <v>21906.600000000002</v>
      </c>
      <c r="H150" s="384">
        <f>H151+H154+H157+H160</f>
        <v>20634.300000000003</v>
      </c>
      <c r="I150" s="403">
        <f t="shared" si="15"/>
        <v>0.94192161266467644</v>
      </c>
    </row>
    <row r="151" spans="1:9" ht="24" x14ac:dyDescent="0.2">
      <c r="A151" s="344" t="s">
        <v>581</v>
      </c>
      <c r="B151" s="337" t="s">
        <v>448</v>
      </c>
      <c r="C151" s="345" t="s">
        <v>136</v>
      </c>
      <c r="D151" s="326" t="s">
        <v>77</v>
      </c>
      <c r="E151" s="273" t="s">
        <v>545</v>
      </c>
      <c r="F151" s="326"/>
      <c r="G151" s="373">
        <f>G153</f>
        <v>19282.7</v>
      </c>
      <c r="H151" s="373">
        <f>H153</f>
        <v>18212.900000000001</v>
      </c>
      <c r="I151" s="403">
        <f t="shared" si="15"/>
        <v>0.94452021760438121</v>
      </c>
    </row>
    <row r="152" spans="1:9" ht="27" customHeight="1" x14ac:dyDescent="0.2">
      <c r="A152" s="341" t="s">
        <v>593</v>
      </c>
      <c r="B152" s="328" t="s">
        <v>362</v>
      </c>
      <c r="C152" s="346" t="s">
        <v>136</v>
      </c>
      <c r="D152" s="329" t="s">
        <v>77</v>
      </c>
      <c r="E152" s="247" t="s">
        <v>545</v>
      </c>
      <c r="F152" s="329" t="s">
        <v>361</v>
      </c>
      <c r="G152" s="374">
        <f>G153</f>
        <v>19282.7</v>
      </c>
      <c r="H152" s="374">
        <f>H153</f>
        <v>18212.900000000001</v>
      </c>
      <c r="I152" s="403">
        <f t="shared" si="15"/>
        <v>0.94452021760438121</v>
      </c>
    </row>
    <row r="153" spans="1:9" ht="24.75" customHeight="1" x14ac:dyDescent="0.2">
      <c r="A153" s="341" t="s">
        <v>594</v>
      </c>
      <c r="B153" s="241" t="s">
        <v>328</v>
      </c>
      <c r="C153" s="346" t="s">
        <v>136</v>
      </c>
      <c r="D153" s="329" t="s">
        <v>77</v>
      </c>
      <c r="E153" s="247" t="s">
        <v>545</v>
      </c>
      <c r="F153" s="329" t="s">
        <v>265</v>
      </c>
      <c r="G153" s="374">
        <f>20180.5-678.7-200-19.1</f>
        <v>19282.7</v>
      </c>
      <c r="H153" s="153">
        <v>18212.900000000001</v>
      </c>
      <c r="I153" s="403">
        <f t="shared" si="15"/>
        <v>0.94452021760438121</v>
      </c>
    </row>
    <row r="154" spans="1:9" x14ac:dyDescent="0.2">
      <c r="A154" s="344" t="s">
        <v>582</v>
      </c>
      <c r="B154" s="337" t="s">
        <v>449</v>
      </c>
      <c r="C154" s="345" t="s">
        <v>136</v>
      </c>
      <c r="D154" s="326" t="s">
        <v>77</v>
      </c>
      <c r="E154" s="272" t="s">
        <v>546</v>
      </c>
      <c r="F154" s="326"/>
      <c r="G154" s="373">
        <f t="shared" ref="G154:H154" si="17">G156</f>
        <v>1453</v>
      </c>
      <c r="H154" s="373">
        <f t="shared" si="17"/>
        <v>1324.2</v>
      </c>
      <c r="I154" s="403">
        <f t="shared" si="15"/>
        <v>0.91135581555402623</v>
      </c>
    </row>
    <row r="155" spans="1:9" ht="26.25" customHeight="1" x14ac:dyDescent="0.2">
      <c r="A155" s="341" t="s">
        <v>595</v>
      </c>
      <c r="B155" s="328" t="s">
        <v>362</v>
      </c>
      <c r="C155" s="346" t="s">
        <v>136</v>
      </c>
      <c r="D155" s="329" t="s">
        <v>77</v>
      </c>
      <c r="E155" s="247" t="s">
        <v>546</v>
      </c>
      <c r="F155" s="329" t="s">
        <v>361</v>
      </c>
      <c r="G155" s="374">
        <f>G156</f>
        <v>1453</v>
      </c>
      <c r="H155" s="374">
        <f>H156</f>
        <v>1324.2</v>
      </c>
      <c r="I155" s="403">
        <f t="shared" si="15"/>
        <v>0.91135581555402623</v>
      </c>
    </row>
    <row r="156" spans="1:9" ht="28.5" customHeight="1" x14ac:dyDescent="0.2">
      <c r="A156" s="341" t="s">
        <v>596</v>
      </c>
      <c r="B156" s="241" t="s">
        <v>328</v>
      </c>
      <c r="C156" s="346" t="s">
        <v>136</v>
      </c>
      <c r="D156" s="329" t="s">
        <v>77</v>
      </c>
      <c r="E156" s="247" t="s">
        <v>546</v>
      </c>
      <c r="F156" s="329" t="s">
        <v>265</v>
      </c>
      <c r="G156" s="374">
        <f>1492.8-39.8</f>
        <v>1453</v>
      </c>
      <c r="H156" s="153">
        <v>1324.2</v>
      </c>
      <c r="I156" s="403">
        <f t="shared" si="15"/>
        <v>0.91135581555402623</v>
      </c>
    </row>
    <row r="157" spans="1:9" x14ac:dyDescent="0.2">
      <c r="A157" s="344" t="s">
        <v>583</v>
      </c>
      <c r="B157" s="337" t="s">
        <v>79</v>
      </c>
      <c r="C157" s="345" t="s">
        <v>136</v>
      </c>
      <c r="D157" s="326" t="s">
        <v>77</v>
      </c>
      <c r="E157" s="272" t="s">
        <v>547</v>
      </c>
      <c r="F157" s="326"/>
      <c r="G157" s="373">
        <f>G159</f>
        <v>1152</v>
      </c>
      <c r="H157" s="373">
        <f>H159</f>
        <v>1079.2</v>
      </c>
      <c r="I157" s="403">
        <f t="shared" si="15"/>
        <v>0.93680555555555556</v>
      </c>
    </row>
    <row r="158" spans="1:9" ht="21" customHeight="1" x14ac:dyDescent="0.2">
      <c r="A158" s="341" t="s">
        <v>597</v>
      </c>
      <c r="B158" s="328" t="s">
        <v>362</v>
      </c>
      <c r="C158" s="353" t="s">
        <v>136</v>
      </c>
      <c r="D158" s="336" t="s">
        <v>77</v>
      </c>
      <c r="E158" s="247" t="s">
        <v>547</v>
      </c>
      <c r="F158" s="329" t="s">
        <v>361</v>
      </c>
      <c r="G158" s="375">
        <f>G159</f>
        <v>1152</v>
      </c>
      <c r="H158" s="375">
        <f>H159</f>
        <v>1079.2</v>
      </c>
      <c r="I158" s="403">
        <f t="shared" si="15"/>
        <v>0.93680555555555556</v>
      </c>
    </row>
    <row r="159" spans="1:9" ht="36" x14ac:dyDescent="0.2">
      <c r="A159" s="341" t="s">
        <v>598</v>
      </c>
      <c r="B159" s="241" t="s">
        <v>328</v>
      </c>
      <c r="C159" s="353" t="s">
        <v>136</v>
      </c>
      <c r="D159" s="336" t="s">
        <v>77</v>
      </c>
      <c r="E159" s="247" t="s">
        <v>547</v>
      </c>
      <c r="F159" s="329" t="s">
        <v>265</v>
      </c>
      <c r="G159" s="375">
        <v>1152</v>
      </c>
      <c r="H159" s="153">
        <v>1079.2</v>
      </c>
      <c r="I159" s="403">
        <f t="shared" si="15"/>
        <v>0.93680555555555556</v>
      </c>
    </row>
    <row r="160" spans="1:9" ht="48" x14ac:dyDescent="0.2">
      <c r="A160" s="344" t="s">
        <v>584</v>
      </c>
      <c r="B160" s="337" t="s">
        <v>494</v>
      </c>
      <c r="C160" s="345" t="s">
        <v>136</v>
      </c>
      <c r="D160" s="326" t="s">
        <v>77</v>
      </c>
      <c r="E160" s="272" t="s">
        <v>548</v>
      </c>
      <c r="F160" s="326"/>
      <c r="G160" s="373">
        <f>G162</f>
        <v>18.899999999999999</v>
      </c>
      <c r="H160" s="373">
        <f>H162</f>
        <v>18</v>
      </c>
      <c r="I160" s="403">
        <f t="shared" si="15"/>
        <v>0.95238095238095244</v>
      </c>
    </row>
    <row r="161" spans="1:9" ht="28.5" customHeight="1" x14ac:dyDescent="0.2">
      <c r="A161" s="341" t="s">
        <v>599</v>
      </c>
      <c r="B161" s="328" t="s">
        <v>362</v>
      </c>
      <c r="C161" s="353" t="s">
        <v>136</v>
      </c>
      <c r="D161" s="336" t="s">
        <v>77</v>
      </c>
      <c r="E161" s="247" t="s">
        <v>548</v>
      </c>
      <c r="F161" s="329" t="s">
        <v>361</v>
      </c>
      <c r="G161" s="375">
        <f>G162</f>
        <v>18.899999999999999</v>
      </c>
      <c r="H161" s="375">
        <f>H162</f>
        <v>18</v>
      </c>
      <c r="I161" s="403">
        <f t="shared" si="15"/>
        <v>0.95238095238095244</v>
      </c>
    </row>
    <row r="162" spans="1:9" ht="36.75" thickBot="1" x14ac:dyDescent="0.25">
      <c r="A162" s="341" t="s">
        <v>600</v>
      </c>
      <c r="B162" s="241" t="s">
        <v>328</v>
      </c>
      <c r="C162" s="353" t="s">
        <v>136</v>
      </c>
      <c r="D162" s="336" t="s">
        <v>77</v>
      </c>
      <c r="E162" s="247" t="s">
        <v>548</v>
      </c>
      <c r="F162" s="329" t="s">
        <v>265</v>
      </c>
      <c r="G162" s="375">
        <v>18.899999999999999</v>
      </c>
      <c r="H162" s="153">
        <v>18</v>
      </c>
      <c r="I162" s="403">
        <f t="shared" si="15"/>
        <v>0.95238095238095244</v>
      </c>
    </row>
    <row r="163" spans="1:9" ht="13.5" thickBot="1" x14ac:dyDescent="0.25">
      <c r="A163" s="283" t="s">
        <v>40</v>
      </c>
      <c r="B163" s="284" t="s">
        <v>32</v>
      </c>
      <c r="C163" s="285" t="s">
        <v>136</v>
      </c>
      <c r="D163" s="285" t="s">
        <v>21</v>
      </c>
      <c r="E163" s="285"/>
      <c r="F163" s="285"/>
      <c r="G163" s="380">
        <f>G168+G164</f>
        <v>638</v>
      </c>
      <c r="H163" s="380">
        <f>H168+H164</f>
        <v>637.4</v>
      </c>
      <c r="I163" s="403">
        <f t="shared" si="15"/>
        <v>0.99905956112852656</v>
      </c>
    </row>
    <row r="164" spans="1:9" ht="30" customHeight="1" x14ac:dyDescent="0.2">
      <c r="A164" s="286" t="s">
        <v>168</v>
      </c>
      <c r="B164" s="287" t="s">
        <v>349</v>
      </c>
      <c r="C164" s="272" t="s">
        <v>136</v>
      </c>
      <c r="D164" s="272" t="s">
        <v>348</v>
      </c>
      <c r="E164" s="272"/>
      <c r="F164" s="272"/>
      <c r="G164" s="372">
        <f>G165</f>
        <v>75</v>
      </c>
      <c r="H164" s="372">
        <f>H165</f>
        <v>74.8</v>
      </c>
      <c r="I164" s="403">
        <f t="shared" si="15"/>
        <v>0.99733333333333329</v>
      </c>
    </row>
    <row r="165" spans="1:9" ht="84" x14ac:dyDescent="0.2">
      <c r="A165" s="279" t="s">
        <v>76</v>
      </c>
      <c r="B165" s="277" t="s">
        <v>445</v>
      </c>
      <c r="C165" s="273" t="s">
        <v>136</v>
      </c>
      <c r="D165" s="273" t="s">
        <v>348</v>
      </c>
      <c r="E165" s="273" t="s">
        <v>550</v>
      </c>
      <c r="F165" s="273"/>
      <c r="G165" s="373">
        <f>G167</f>
        <v>75</v>
      </c>
      <c r="H165" s="373">
        <f>H167</f>
        <v>74.8</v>
      </c>
      <c r="I165" s="403">
        <f t="shared" si="15"/>
        <v>0.99733333333333329</v>
      </c>
    </row>
    <row r="166" spans="1:9" ht="30" customHeight="1" x14ac:dyDescent="0.2">
      <c r="A166" s="245" t="s">
        <v>149</v>
      </c>
      <c r="B166" s="328" t="s">
        <v>362</v>
      </c>
      <c r="C166" s="242" t="s">
        <v>136</v>
      </c>
      <c r="D166" s="242" t="s">
        <v>348</v>
      </c>
      <c r="E166" s="242" t="s">
        <v>550</v>
      </c>
      <c r="F166" s="242" t="s">
        <v>361</v>
      </c>
      <c r="G166" s="375">
        <f>G167</f>
        <v>75</v>
      </c>
      <c r="H166" s="375">
        <f>H167</f>
        <v>74.8</v>
      </c>
      <c r="I166" s="403">
        <f t="shared" si="15"/>
        <v>0.99733333333333329</v>
      </c>
    </row>
    <row r="167" spans="1:9" ht="27.75" customHeight="1" x14ac:dyDescent="0.2">
      <c r="A167" s="245" t="s">
        <v>380</v>
      </c>
      <c r="B167" s="241" t="s">
        <v>328</v>
      </c>
      <c r="C167" s="242" t="s">
        <v>136</v>
      </c>
      <c r="D167" s="242" t="s">
        <v>348</v>
      </c>
      <c r="E167" s="242" t="s">
        <v>550</v>
      </c>
      <c r="F167" s="242" t="s">
        <v>265</v>
      </c>
      <c r="G167" s="375">
        <v>75</v>
      </c>
      <c r="H167" s="153">
        <v>74.8</v>
      </c>
      <c r="I167" s="403">
        <f t="shared" si="15"/>
        <v>0.99733333333333329</v>
      </c>
    </row>
    <row r="168" spans="1:9" x14ac:dyDescent="0.2">
      <c r="A168" s="286" t="s">
        <v>350</v>
      </c>
      <c r="B168" s="287" t="s">
        <v>127</v>
      </c>
      <c r="C168" s="272" t="s">
        <v>136</v>
      </c>
      <c r="D168" s="272" t="s">
        <v>22</v>
      </c>
      <c r="E168" s="272"/>
      <c r="F168" s="273"/>
      <c r="G168" s="394">
        <f>G169+G172</f>
        <v>563</v>
      </c>
      <c r="H168" s="394">
        <f>H169+H172</f>
        <v>562.6</v>
      </c>
      <c r="I168" s="403">
        <f t="shared" si="15"/>
        <v>0.99928952042628783</v>
      </c>
    </row>
    <row r="169" spans="1:9" ht="24" x14ac:dyDescent="0.2">
      <c r="A169" s="279" t="s">
        <v>351</v>
      </c>
      <c r="B169" s="277" t="s">
        <v>450</v>
      </c>
      <c r="C169" s="273" t="s">
        <v>136</v>
      </c>
      <c r="D169" s="273" t="s">
        <v>22</v>
      </c>
      <c r="E169" s="273" t="s">
        <v>551</v>
      </c>
      <c r="F169" s="273"/>
      <c r="G169" s="373">
        <f>G171</f>
        <v>473</v>
      </c>
      <c r="H169" s="373">
        <f>H171</f>
        <v>473</v>
      </c>
      <c r="I169" s="403">
        <f t="shared" si="15"/>
        <v>1</v>
      </c>
    </row>
    <row r="170" spans="1:9" ht="40.5" customHeight="1" x14ac:dyDescent="0.2">
      <c r="A170" s="245" t="s">
        <v>352</v>
      </c>
      <c r="B170" s="328" t="s">
        <v>362</v>
      </c>
      <c r="C170" s="242" t="s">
        <v>136</v>
      </c>
      <c r="D170" s="242" t="s">
        <v>22</v>
      </c>
      <c r="E170" s="242" t="s">
        <v>551</v>
      </c>
      <c r="F170" s="242" t="s">
        <v>361</v>
      </c>
      <c r="G170" s="375">
        <f>G171</f>
        <v>473</v>
      </c>
      <c r="H170" s="375">
        <f>H171</f>
        <v>473</v>
      </c>
      <c r="I170" s="403">
        <f t="shared" si="15"/>
        <v>1</v>
      </c>
    </row>
    <row r="171" spans="1:9" ht="36" x14ac:dyDescent="0.2">
      <c r="A171" s="245" t="s">
        <v>381</v>
      </c>
      <c r="B171" s="241" t="s">
        <v>328</v>
      </c>
      <c r="C171" s="242" t="s">
        <v>136</v>
      </c>
      <c r="D171" s="242" t="s">
        <v>22</v>
      </c>
      <c r="E171" s="242" t="s">
        <v>551</v>
      </c>
      <c r="F171" s="242" t="s">
        <v>265</v>
      </c>
      <c r="G171" s="375">
        <v>473</v>
      </c>
      <c r="H171" s="153">
        <v>473</v>
      </c>
      <c r="I171" s="403">
        <f t="shared" si="15"/>
        <v>1</v>
      </c>
    </row>
    <row r="172" spans="1:9" ht="36" x14ac:dyDescent="0.2">
      <c r="A172" s="279" t="s">
        <v>353</v>
      </c>
      <c r="B172" s="298" t="s">
        <v>451</v>
      </c>
      <c r="C172" s="273" t="s">
        <v>136</v>
      </c>
      <c r="D172" s="273" t="s">
        <v>22</v>
      </c>
      <c r="E172" s="273" t="s">
        <v>569</v>
      </c>
      <c r="F172" s="273"/>
      <c r="G172" s="373">
        <f>G174</f>
        <v>90</v>
      </c>
      <c r="H172" s="373">
        <f>H174</f>
        <v>89.6</v>
      </c>
      <c r="I172" s="403">
        <f t="shared" si="15"/>
        <v>0.99555555555555553</v>
      </c>
    </row>
    <row r="173" spans="1:9" ht="28.5" customHeight="1" x14ac:dyDescent="0.2">
      <c r="A173" s="251" t="s">
        <v>354</v>
      </c>
      <c r="B173" s="328" t="s">
        <v>362</v>
      </c>
      <c r="C173" s="252">
        <v>993</v>
      </c>
      <c r="D173" s="248" t="s">
        <v>22</v>
      </c>
      <c r="E173" s="242" t="s">
        <v>569</v>
      </c>
      <c r="F173" s="242" t="s">
        <v>361</v>
      </c>
      <c r="G173" s="375">
        <f>G174</f>
        <v>90</v>
      </c>
      <c r="H173" s="375">
        <f>H174</f>
        <v>89.6</v>
      </c>
      <c r="I173" s="403">
        <f t="shared" si="15"/>
        <v>0.99555555555555553</v>
      </c>
    </row>
    <row r="174" spans="1:9" ht="36.75" thickBot="1" x14ac:dyDescent="0.25">
      <c r="A174" s="251" t="s">
        <v>382</v>
      </c>
      <c r="B174" s="241" t="s">
        <v>328</v>
      </c>
      <c r="C174" s="252">
        <v>993</v>
      </c>
      <c r="D174" s="248" t="s">
        <v>22</v>
      </c>
      <c r="E174" s="242" t="s">
        <v>569</v>
      </c>
      <c r="F174" s="242" t="s">
        <v>265</v>
      </c>
      <c r="G174" s="375">
        <v>90</v>
      </c>
      <c r="H174" s="153">
        <v>89.6</v>
      </c>
      <c r="I174" s="403">
        <f t="shared" si="15"/>
        <v>0.99555555555555553</v>
      </c>
    </row>
    <row r="175" spans="1:9" ht="13.5" thickBot="1" x14ac:dyDescent="0.25">
      <c r="A175" s="283" t="s">
        <v>46</v>
      </c>
      <c r="B175" s="284" t="s">
        <v>212</v>
      </c>
      <c r="C175" s="285" t="s">
        <v>136</v>
      </c>
      <c r="D175" s="285" t="s">
        <v>23</v>
      </c>
      <c r="E175" s="285"/>
      <c r="F175" s="285"/>
      <c r="G175" s="380">
        <f>G176+G180</f>
        <v>2648.6</v>
      </c>
      <c r="H175" s="380">
        <f>H176+H180</f>
        <v>2646.8</v>
      </c>
      <c r="I175" s="403">
        <f t="shared" si="15"/>
        <v>0.99932039568073705</v>
      </c>
    </row>
    <row r="176" spans="1:9" x14ac:dyDescent="0.2">
      <c r="A176" s="286" t="s">
        <v>9</v>
      </c>
      <c r="B176" s="287" t="s">
        <v>36</v>
      </c>
      <c r="C176" s="272" t="s">
        <v>136</v>
      </c>
      <c r="D176" s="272" t="s">
        <v>37</v>
      </c>
      <c r="E176" s="272"/>
      <c r="F176" s="272"/>
      <c r="G176" s="372">
        <f>G177</f>
        <v>2049</v>
      </c>
      <c r="H176" s="372">
        <f>H177</f>
        <v>2048.1</v>
      </c>
      <c r="I176" s="403">
        <f t="shared" si="15"/>
        <v>0.99956076134699845</v>
      </c>
    </row>
    <row r="177" spans="1:28" ht="48" x14ac:dyDescent="0.2">
      <c r="A177" s="279" t="s">
        <v>49</v>
      </c>
      <c r="B177" s="277" t="s">
        <v>452</v>
      </c>
      <c r="C177" s="273" t="s">
        <v>136</v>
      </c>
      <c r="D177" s="273" t="s">
        <v>37</v>
      </c>
      <c r="E177" s="273" t="s">
        <v>552</v>
      </c>
      <c r="F177" s="273"/>
      <c r="G177" s="373">
        <f>G179</f>
        <v>2049</v>
      </c>
      <c r="H177" s="373">
        <f>H179</f>
        <v>2048.1</v>
      </c>
      <c r="I177" s="403">
        <f t="shared" si="15"/>
        <v>0.99956076134699845</v>
      </c>
    </row>
    <row r="178" spans="1:28" ht="25.5" customHeight="1" x14ac:dyDescent="0.2">
      <c r="A178" s="245" t="s">
        <v>153</v>
      </c>
      <c r="B178" s="328" t="s">
        <v>362</v>
      </c>
      <c r="C178" s="242" t="s">
        <v>136</v>
      </c>
      <c r="D178" s="242" t="s">
        <v>37</v>
      </c>
      <c r="E178" s="242" t="s">
        <v>552</v>
      </c>
      <c r="F178" s="242" t="s">
        <v>361</v>
      </c>
      <c r="G178" s="375">
        <f>G179</f>
        <v>2049</v>
      </c>
      <c r="H178" s="375">
        <f>H179</f>
        <v>2048.1</v>
      </c>
      <c r="I178" s="403">
        <f t="shared" si="15"/>
        <v>0.99956076134699845</v>
      </c>
    </row>
    <row r="179" spans="1:28" ht="36" x14ac:dyDescent="0.2">
      <c r="A179" s="245" t="s">
        <v>478</v>
      </c>
      <c r="B179" s="241" t="s">
        <v>328</v>
      </c>
      <c r="C179" s="242" t="s">
        <v>136</v>
      </c>
      <c r="D179" s="242" t="s">
        <v>37</v>
      </c>
      <c r="E179" s="242" t="s">
        <v>552</v>
      </c>
      <c r="F179" s="242" t="s">
        <v>265</v>
      </c>
      <c r="G179" s="375">
        <v>2049</v>
      </c>
      <c r="H179" s="375">
        <v>2048.1</v>
      </c>
      <c r="I179" s="403">
        <f t="shared" si="15"/>
        <v>0.99956076134699845</v>
      </c>
    </row>
    <row r="180" spans="1:28" ht="24" x14ac:dyDescent="0.2">
      <c r="A180" s="279" t="s">
        <v>287</v>
      </c>
      <c r="B180" s="298" t="s">
        <v>332</v>
      </c>
      <c r="C180" s="273" t="s">
        <v>136</v>
      </c>
      <c r="D180" s="273" t="s">
        <v>288</v>
      </c>
      <c r="E180" s="273"/>
      <c r="F180" s="273"/>
      <c r="G180" s="373">
        <f>G183</f>
        <v>599.6</v>
      </c>
      <c r="H180" s="373">
        <f>H183</f>
        <v>598.70000000000005</v>
      </c>
      <c r="I180" s="403">
        <f t="shared" si="15"/>
        <v>0.99849899933288866</v>
      </c>
    </row>
    <row r="181" spans="1:28" ht="24" x14ac:dyDescent="0.2">
      <c r="A181" s="299" t="s">
        <v>333</v>
      </c>
      <c r="B181" s="300" t="s">
        <v>453</v>
      </c>
      <c r="C181" s="296" t="s">
        <v>136</v>
      </c>
      <c r="D181" s="296" t="s">
        <v>288</v>
      </c>
      <c r="E181" s="273" t="s">
        <v>553</v>
      </c>
      <c r="F181" s="296"/>
      <c r="G181" s="386">
        <f>G183</f>
        <v>599.6</v>
      </c>
      <c r="H181" s="386">
        <f>H183</f>
        <v>598.70000000000005</v>
      </c>
      <c r="I181" s="403">
        <f t="shared" si="15"/>
        <v>0.99849899933288866</v>
      </c>
    </row>
    <row r="182" spans="1:28" ht="27" customHeight="1" x14ac:dyDescent="0.2">
      <c r="A182" s="251" t="s">
        <v>289</v>
      </c>
      <c r="B182" s="328" t="s">
        <v>362</v>
      </c>
      <c r="C182" s="248" t="s">
        <v>136</v>
      </c>
      <c r="D182" s="248" t="s">
        <v>288</v>
      </c>
      <c r="E182" s="242" t="s">
        <v>553</v>
      </c>
      <c r="F182" s="242" t="s">
        <v>361</v>
      </c>
      <c r="G182" s="375">
        <f>G183</f>
        <v>599.6</v>
      </c>
      <c r="H182" s="375">
        <f>H183</f>
        <v>598.70000000000005</v>
      </c>
      <c r="I182" s="403">
        <f t="shared" si="15"/>
        <v>0.99849899933288866</v>
      </c>
    </row>
    <row r="183" spans="1:28" ht="27" customHeight="1" thickBot="1" x14ac:dyDescent="0.25">
      <c r="A183" s="251" t="s">
        <v>383</v>
      </c>
      <c r="B183" s="241" t="s">
        <v>328</v>
      </c>
      <c r="C183" s="248" t="s">
        <v>136</v>
      </c>
      <c r="D183" s="248" t="s">
        <v>288</v>
      </c>
      <c r="E183" s="242" t="s">
        <v>553</v>
      </c>
      <c r="F183" s="242" t="s">
        <v>265</v>
      </c>
      <c r="G183" s="375">
        <v>599.6</v>
      </c>
      <c r="H183" s="153">
        <v>598.70000000000005</v>
      </c>
      <c r="I183" s="403">
        <f t="shared" si="15"/>
        <v>0.99849899933288866</v>
      </c>
    </row>
    <row r="184" spans="1:28" ht="13.5" thickBot="1" x14ac:dyDescent="0.25">
      <c r="A184" s="283" t="s">
        <v>39</v>
      </c>
      <c r="B184" s="284" t="s">
        <v>33</v>
      </c>
      <c r="C184" s="285" t="s">
        <v>136</v>
      </c>
      <c r="D184" s="285">
        <v>1000</v>
      </c>
      <c r="E184" s="285"/>
      <c r="F184" s="285"/>
      <c r="G184" s="380">
        <f>G189+G185</f>
        <v>944.8</v>
      </c>
      <c r="H184" s="380">
        <f>H189+H185</f>
        <v>765.1</v>
      </c>
      <c r="I184" s="403">
        <f t="shared" si="15"/>
        <v>0.80980101608806099</v>
      </c>
    </row>
    <row r="185" spans="1:28" x14ac:dyDescent="0.2">
      <c r="A185" s="286" t="s">
        <v>154</v>
      </c>
      <c r="B185" s="271" t="s">
        <v>226</v>
      </c>
      <c r="C185" s="272" t="s">
        <v>136</v>
      </c>
      <c r="D185" s="272" t="s">
        <v>225</v>
      </c>
      <c r="E185" s="272"/>
      <c r="F185" s="272"/>
      <c r="G185" s="372">
        <f>G186</f>
        <v>484.2</v>
      </c>
      <c r="H185" s="372">
        <f>H186</f>
        <v>304.5</v>
      </c>
      <c r="I185" s="403">
        <f t="shared" si="15"/>
        <v>0.62887236679058245</v>
      </c>
    </row>
    <row r="186" spans="1:28" ht="36" x14ac:dyDescent="0.2">
      <c r="A186" s="279" t="s">
        <v>70</v>
      </c>
      <c r="B186" s="334" t="s">
        <v>227</v>
      </c>
      <c r="C186" s="326" t="s">
        <v>136</v>
      </c>
      <c r="D186" s="326" t="s">
        <v>225</v>
      </c>
      <c r="E186" s="296" t="s">
        <v>554</v>
      </c>
      <c r="F186" s="326"/>
      <c r="G186" s="373">
        <f>G188</f>
        <v>484.2</v>
      </c>
      <c r="H186" s="373">
        <f>H188</f>
        <v>304.5</v>
      </c>
      <c r="I186" s="403">
        <f t="shared" si="15"/>
        <v>0.62887236679058245</v>
      </c>
      <c r="AB186" s="312"/>
    </row>
    <row r="187" spans="1:28" ht="13.5" customHeight="1" x14ac:dyDescent="0.2">
      <c r="A187" s="251" t="s">
        <v>290</v>
      </c>
      <c r="B187" s="340" t="s">
        <v>372</v>
      </c>
      <c r="C187" s="336" t="s">
        <v>136</v>
      </c>
      <c r="D187" s="336" t="s">
        <v>225</v>
      </c>
      <c r="E187" s="248" t="s">
        <v>554</v>
      </c>
      <c r="F187" s="336" t="s">
        <v>370</v>
      </c>
      <c r="G187" s="374">
        <f>G188</f>
        <v>484.2</v>
      </c>
      <c r="H187" s="374">
        <f>H188</f>
        <v>304.5</v>
      </c>
      <c r="I187" s="403">
        <f t="shared" si="15"/>
        <v>0.62887236679058245</v>
      </c>
      <c r="AB187" s="260"/>
    </row>
    <row r="188" spans="1:28" ht="23.25" customHeight="1" x14ac:dyDescent="0.2">
      <c r="A188" s="251" t="s">
        <v>384</v>
      </c>
      <c r="B188" s="340" t="s">
        <v>373</v>
      </c>
      <c r="C188" s="336" t="s">
        <v>136</v>
      </c>
      <c r="D188" s="336" t="s">
        <v>225</v>
      </c>
      <c r="E188" s="248" t="s">
        <v>554</v>
      </c>
      <c r="F188" s="336" t="s">
        <v>371</v>
      </c>
      <c r="G188" s="374">
        <f>509.2-25</f>
        <v>484.2</v>
      </c>
      <c r="H188" s="153">
        <v>304.5</v>
      </c>
      <c r="I188" s="403">
        <f t="shared" si="15"/>
        <v>0.62887236679058245</v>
      </c>
    </row>
    <row r="189" spans="1:28" x14ac:dyDescent="0.2">
      <c r="A189" s="279" t="s">
        <v>237</v>
      </c>
      <c r="B189" s="277" t="s">
        <v>170</v>
      </c>
      <c r="C189" s="273" t="s">
        <v>136</v>
      </c>
      <c r="D189" s="273" t="s">
        <v>38</v>
      </c>
      <c r="E189" s="273"/>
      <c r="F189" s="273"/>
      <c r="G189" s="373">
        <f>G190</f>
        <v>460.6</v>
      </c>
      <c r="H189" s="373">
        <f>H193+H190</f>
        <v>460.6</v>
      </c>
      <c r="I189" s="403">
        <f t="shared" si="15"/>
        <v>1</v>
      </c>
    </row>
    <row r="190" spans="1:28" ht="48" x14ac:dyDescent="0.2">
      <c r="A190" s="276" t="s">
        <v>209</v>
      </c>
      <c r="B190" s="277" t="s">
        <v>574</v>
      </c>
      <c r="C190" s="273" t="s">
        <v>136</v>
      </c>
      <c r="D190" s="273" t="s">
        <v>38</v>
      </c>
      <c r="E190" s="273" t="s">
        <v>575</v>
      </c>
      <c r="F190" s="273"/>
      <c r="G190" s="387">
        <f>G192</f>
        <v>460.6</v>
      </c>
      <c r="H190" s="387">
        <f>H192</f>
        <v>460.6</v>
      </c>
      <c r="I190" s="403">
        <f t="shared" si="15"/>
        <v>1</v>
      </c>
    </row>
    <row r="191" spans="1:28" ht="22.5" customHeight="1" x14ac:dyDescent="0.2">
      <c r="A191" s="245" t="s">
        <v>211</v>
      </c>
      <c r="B191" s="340" t="s">
        <v>372</v>
      </c>
      <c r="C191" s="242" t="s">
        <v>136</v>
      </c>
      <c r="D191" s="242" t="s">
        <v>38</v>
      </c>
      <c r="E191" s="242" t="s">
        <v>575</v>
      </c>
      <c r="F191" s="242" t="s">
        <v>370</v>
      </c>
      <c r="G191" s="374">
        <f>G192</f>
        <v>460.6</v>
      </c>
      <c r="H191" s="374">
        <f>H192</f>
        <v>460.6</v>
      </c>
      <c r="I191" s="403">
        <f t="shared" si="15"/>
        <v>1</v>
      </c>
    </row>
    <row r="192" spans="1:28" ht="24.75" customHeight="1" thickBot="1" x14ac:dyDescent="0.25">
      <c r="A192" s="245" t="s">
        <v>385</v>
      </c>
      <c r="B192" s="340" t="s">
        <v>373</v>
      </c>
      <c r="C192" s="242" t="s">
        <v>136</v>
      </c>
      <c r="D192" s="242" t="s">
        <v>38</v>
      </c>
      <c r="E192" s="242" t="s">
        <v>575</v>
      </c>
      <c r="F192" s="242" t="s">
        <v>371</v>
      </c>
      <c r="G192" s="374">
        <v>460.6</v>
      </c>
      <c r="H192" s="153">
        <v>460.6</v>
      </c>
      <c r="I192" s="403">
        <f t="shared" si="15"/>
        <v>1</v>
      </c>
      <c r="X192" s="323"/>
    </row>
    <row r="193" spans="1:9" ht="13.5" hidden="1" thickBot="1" x14ac:dyDescent="0.25">
      <c r="A193" s="276" t="s">
        <v>238</v>
      </c>
      <c r="B193" s="277" t="s">
        <v>291</v>
      </c>
      <c r="C193" s="273" t="s">
        <v>136</v>
      </c>
      <c r="D193" s="273" t="s">
        <v>38</v>
      </c>
      <c r="E193" s="273" t="s">
        <v>422</v>
      </c>
      <c r="F193" s="273"/>
      <c r="G193" s="373" t="e">
        <f>#REF!</f>
        <v>#REF!</v>
      </c>
      <c r="H193" s="153"/>
      <c r="I193" s="403" t="e">
        <f t="shared" si="15"/>
        <v>#REF!</v>
      </c>
    </row>
    <row r="194" spans="1:9" ht="13.5" thickBot="1" x14ac:dyDescent="0.25">
      <c r="A194" s="283" t="s">
        <v>80</v>
      </c>
      <c r="B194" s="284" t="s">
        <v>169</v>
      </c>
      <c r="C194" s="285" t="s">
        <v>136</v>
      </c>
      <c r="D194" s="285" t="s">
        <v>190</v>
      </c>
      <c r="E194" s="285"/>
      <c r="F194" s="285"/>
      <c r="G194" s="380">
        <f t="shared" ref="G194:H195" si="18">G195</f>
        <v>364.5</v>
      </c>
      <c r="H194" s="380">
        <f t="shared" si="18"/>
        <v>363.5</v>
      </c>
      <c r="I194" s="403">
        <f t="shared" ref="I194:I207" si="19">H194/G194</f>
        <v>0.99725651577503427</v>
      </c>
    </row>
    <row r="195" spans="1:9" x14ac:dyDescent="0.2">
      <c r="A195" s="286" t="s">
        <v>232</v>
      </c>
      <c r="B195" s="287" t="s">
        <v>191</v>
      </c>
      <c r="C195" s="272" t="s">
        <v>136</v>
      </c>
      <c r="D195" s="272" t="s">
        <v>189</v>
      </c>
      <c r="E195" s="272"/>
      <c r="F195" s="272"/>
      <c r="G195" s="372">
        <f t="shared" si="18"/>
        <v>364.5</v>
      </c>
      <c r="H195" s="372">
        <f t="shared" si="18"/>
        <v>363.5</v>
      </c>
      <c r="I195" s="403">
        <f t="shared" si="19"/>
        <v>0.99725651577503427</v>
      </c>
    </row>
    <row r="196" spans="1:9" ht="60" x14ac:dyDescent="0.2">
      <c r="A196" s="245" t="s">
        <v>196</v>
      </c>
      <c r="B196" s="298" t="s">
        <v>556</v>
      </c>
      <c r="C196" s="273" t="s">
        <v>136</v>
      </c>
      <c r="D196" s="273" t="s">
        <v>189</v>
      </c>
      <c r="E196" s="296" t="s">
        <v>555</v>
      </c>
      <c r="F196" s="273"/>
      <c r="G196" s="373">
        <f>G198</f>
        <v>364.5</v>
      </c>
      <c r="H196" s="373">
        <f>H198</f>
        <v>363.5</v>
      </c>
      <c r="I196" s="403">
        <f t="shared" si="19"/>
        <v>0.99725651577503427</v>
      </c>
    </row>
    <row r="197" spans="1:9" ht="28.5" customHeight="1" x14ac:dyDescent="0.2">
      <c r="A197" s="251" t="s">
        <v>197</v>
      </c>
      <c r="B197" s="328" t="s">
        <v>362</v>
      </c>
      <c r="C197" s="248" t="s">
        <v>136</v>
      </c>
      <c r="D197" s="248" t="s">
        <v>189</v>
      </c>
      <c r="E197" s="248" t="s">
        <v>555</v>
      </c>
      <c r="F197" s="248" t="s">
        <v>361</v>
      </c>
      <c r="G197" s="375">
        <f>G198</f>
        <v>364.5</v>
      </c>
      <c r="H197" s="375">
        <f>H198</f>
        <v>363.5</v>
      </c>
      <c r="I197" s="403">
        <f t="shared" si="19"/>
        <v>0.99725651577503427</v>
      </c>
    </row>
    <row r="198" spans="1:9" ht="28.5" customHeight="1" thickBot="1" x14ac:dyDescent="0.25">
      <c r="A198" s="251" t="s">
        <v>386</v>
      </c>
      <c r="B198" s="241" t="s">
        <v>328</v>
      </c>
      <c r="C198" s="248" t="s">
        <v>136</v>
      </c>
      <c r="D198" s="248" t="s">
        <v>189</v>
      </c>
      <c r="E198" s="248" t="s">
        <v>555</v>
      </c>
      <c r="F198" s="248" t="s">
        <v>265</v>
      </c>
      <c r="G198" s="375">
        <v>364.5</v>
      </c>
      <c r="H198" s="153">
        <v>363.5</v>
      </c>
      <c r="I198" s="403">
        <f t="shared" si="19"/>
        <v>0.99725651577503427</v>
      </c>
    </row>
    <row r="199" spans="1:9" ht="13.5" thickBot="1" x14ac:dyDescent="0.25">
      <c r="A199" s="283" t="s">
        <v>233</v>
      </c>
      <c r="B199" s="284" t="s">
        <v>192</v>
      </c>
      <c r="C199" s="285" t="s">
        <v>136</v>
      </c>
      <c r="D199" s="285" t="s">
        <v>193</v>
      </c>
      <c r="E199" s="285"/>
      <c r="F199" s="285"/>
      <c r="G199" s="380">
        <f>G200</f>
        <v>440.2</v>
      </c>
      <c r="H199" s="380">
        <f>H200</f>
        <v>439.4</v>
      </c>
      <c r="I199" s="403">
        <f t="shared" si="19"/>
        <v>0.99818264425261238</v>
      </c>
    </row>
    <row r="200" spans="1:9" x14ac:dyDescent="0.2">
      <c r="A200" s="286" t="s">
        <v>71</v>
      </c>
      <c r="B200" s="287" t="s">
        <v>195</v>
      </c>
      <c r="C200" s="272" t="s">
        <v>136</v>
      </c>
      <c r="D200" s="272" t="s">
        <v>194</v>
      </c>
      <c r="E200" s="272"/>
      <c r="F200" s="272"/>
      <c r="G200" s="372">
        <f>G201+G204</f>
        <v>440.2</v>
      </c>
      <c r="H200" s="372">
        <f>H201+H204</f>
        <v>439.4</v>
      </c>
      <c r="I200" s="403">
        <f t="shared" si="19"/>
        <v>0.99818264425261238</v>
      </c>
    </row>
    <row r="201" spans="1:9" ht="24" x14ac:dyDescent="0.2">
      <c r="A201" s="279" t="s">
        <v>87</v>
      </c>
      <c r="B201" s="298" t="s">
        <v>559</v>
      </c>
      <c r="C201" s="273" t="s">
        <v>136</v>
      </c>
      <c r="D201" s="273" t="s">
        <v>194</v>
      </c>
      <c r="E201" s="273" t="s">
        <v>557</v>
      </c>
      <c r="F201" s="273"/>
      <c r="G201" s="373">
        <f>G203</f>
        <v>440.2</v>
      </c>
      <c r="H201" s="373">
        <f>H203</f>
        <v>439.4</v>
      </c>
      <c r="I201" s="403">
        <f t="shared" si="19"/>
        <v>0.99818264425261238</v>
      </c>
    </row>
    <row r="202" spans="1:9" ht="24" customHeight="1" x14ac:dyDescent="0.2">
      <c r="A202" s="245" t="s">
        <v>234</v>
      </c>
      <c r="B202" s="328" t="s">
        <v>362</v>
      </c>
      <c r="C202" s="242" t="s">
        <v>136</v>
      </c>
      <c r="D202" s="242" t="s">
        <v>194</v>
      </c>
      <c r="E202" s="242" t="s">
        <v>557</v>
      </c>
      <c r="F202" s="248" t="s">
        <v>361</v>
      </c>
      <c r="G202" s="374">
        <f>G203</f>
        <v>440.2</v>
      </c>
      <c r="H202" s="374">
        <f>H203</f>
        <v>439.4</v>
      </c>
      <c r="I202" s="403">
        <f t="shared" si="19"/>
        <v>0.99818264425261238</v>
      </c>
    </row>
    <row r="203" spans="1:9" ht="36.75" thickBot="1" x14ac:dyDescent="0.25">
      <c r="A203" s="245" t="s">
        <v>387</v>
      </c>
      <c r="B203" s="241" t="s">
        <v>328</v>
      </c>
      <c r="C203" s="242" t="s">
        <v>136</v>
      </c>
      <c r="D203" s="242" t="s">
        <v>194</v>
      </c>
      <c r="E203" s="242" t="s">
        <v>557</v>
      </c>
      <c r="F203" s="248" t="s">
        <v>265</v>
      </c>
      <c r="G203" s="374">
        <v>440.2</v>
      </c>
      <c r="H203" s="153">
        <v>439.4</v>
      </c>
      <c r="I203" s="403">
        <f t="shared" si="19"/>
        <v>0.99818264425261238</v>
      </c>
    </row>
    <row r="204" spans="1:9" ht="24.75" hidden="1" thickBot="1" x14ac:dyDescent="0.25">
      <c r="A204" s="279" t="s">
        <v>293</v>
      </c>
      <c r="B204" s="300" t="s">
        <v>294</v>
      </c>
      <c r="C204" s="273" t="s">
        <v>136</v>
      </c>
      <c r="D204" s="273" t="s">
        <v>194</v>
      </c>
      <c r="E204" s="273" t="s">
        <v>558</v>
      </c>
      <c r="F204" s="273"/>
      <c r="G204" s="386">
        <f>G206</f>
        <v>0</v>
      </c>
      <c r="H204" s="153"/>
      <c r="I204" s="403" t="e">
        <f t="shared" si="19"/>
        <v>#DIV/0!</v>
      </c>
    </row>
    <row r="205" spans="1:9" ht="60.75" hidden="1" thickBot="1" x14ac:dyDescent="0.25">
      <c r="A205" s="251" t="s">
        <v>331</v>
      </c>
      <c r="B205" s="328" t="s">
        <v>362</v>
      </c>
      <c r="C205" s="248" t="s">
        <v>136</v>
      </c>
      <c r="D205" s="248" t="s">
        <v>194</v>
      </c>
      <c r="E205" s="242" t="s">
        <v>558</v>
      </c>
      <c r="F205" s="248" t="s">
        <v>361</v>
      </c>
      <c r="G205" s="375">
        <f>G206</f>
        <v>0</v>
      </c>
      <c r="H205" s="153"/>
      <c r="I205" s="403" t="e">
        <f t="shared" si="19"/>
        <v>#DIV/0!</v>
      </c>
    </row>
    <row r="206" spans="1:9" ht="36.75" hidden="1" thickBot="1" x14ac:dyDescent="0.25">
      <c r="A206" s="251" t="s">
        <v>388</v>
      </c>
      <c r="B206" s="241" t="s">
        <v>328</v>
      </c>
      <c r="C206" s="248" t="s">
        <v>136</v>
      </c>
      <c r="D206" s="248" t="s">
        <v>194</v>
      </c>
      <c r="E206" s="242" t="s">
        <v>558</v>
      </c>
      <c r="F206" s="248" t="s">
        <v>265</v>
      </c>
      <c r="G206" s="375">
        <v>0</v>
      </c>
      <c r="H206" s="153"/>
      <c r="I206" s="403" t="e">
        <f t="shared" si="19"/>
        <v>#DIV/0!</v>
      </c>
    </row>
    <row r="207" spans="1:9" ht="15" thickBot="1" x14ac:dyDescent="0.25">
      <c r="A207" s="301"/>
      <c r="B207" s="302" t="s">
        <v>34</v>
      </c>
      <c r="C207" s="302"/>
      <c r="D207" s="303"/>
      <c r="E207" s="303"/>
      <c r="F207" s="303"/>
      <c r="G207" s="388">
        <f>G9+G36</f>
        <v>100417.5</v>
      </c>
      <c r="H207" s="388">
        <f>H9+H36</f>
        <v>97861.3</v>
      </c>
      <c r="I207" s="403">
        <f t="shared" si="19"/>
        <v>0.9745442776408495</v>
      </c>
    </row>
    <row r="209" spans="7:7" x14ac:dyDescent="0.2">
      <c r="G209" s="396"/>
    </row>
    <row r="210" spans="7:7" x14ac:dyDescent="0.2">
      <c r="G210" s="397"/>
    </row>
    <row r="212" spans="7:7" x14ac:dyDescent="0.2">
      <c r="G212" s="398"/>
    </row>
  </sheetData>
  <mergeCells count="2">
    <mergeCell ref="A5:F5"/>
    <mergeCell ref="A6:F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1Р.</vt:lpstr>
      <vt:lpstr>доходы 2016</vt:lpstr>
      <vt:lpstr>Прилож 5 12.07</vt:lpstr>
      <vt:lpstr>доходы 15.11.16</vt:lpstr>
      <vt:lpstr>прил 3 функ 15.12</vt:lpstr>
      <vt:lpstr>прил 4 вед 15.12</vt:lpstr>
      <vt:lpstr>Лист4</vt:lpstr>
      <vt:lpstr>Лист5</vt:lpstr>
      <vt:lpstr>'доходы 2016'!Заголовки_для_печати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Влад</cp:lastModifiedBy>
  <cp:lastPrinted>2017-05-04T11:46:27Z</cp:lastPrinted>
  <dcterms:created xsi:type="dcterms:W3CDTF">1999-12-27T10:35:15Z</dcterms:created>
  <dcterms:modified xsi:type="dcterms:W3CDTF">2017-05-04T11:57:45Z</dcterms:modified>
</cp:coreProperties>
</file>